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\\omat\Salk$\Salmelvi\Loppuselvitykset\Tulsote Loppuselvitys\"/>
    </mc:Choice>
  </mc:AlternateContent>
  <xr:revisionPtr revIDLastSave="0" documentId="13_ncr:1_{C18903DD-F6E6-4627-9B9A-0C552EDFF06B}" xr6:coauthVersionLast="47" xr6:coauthVersionMax="47" xr10:uidLastSave="{00000000-0000-0000-0000-000000000000}"/>
  <bookViews>
    <workbookView xWindow="41970" yWindow="450" windowWidth="12930" windowHeight="14565" firstSheet="9" activeTab="12" xr2:uid="{00000000-000D-0000-FFFF-FFFF00000000}"/>
  </bookViews>
  <sheets>
    <sheet name="LNP" sheetId="1" r:id="rId1"/>
    <sheet name="MiPä" sheetId="2" r:id="rId2"/>
    <sheet name="IKÄ" sheetId="3" r:id="rId3"/>
    <sheet name="HOITOT" sheetId="4" r:id="rId4"/>
    <sheet name="Kuntoutus" sheetId="9" r:id="rId5"/>
    <sheet name="Vammaispalvelut" sheetId="10" r:id="rId6"/>
    <sheet name="Hanketoimisto" sheetId="11" r:id="rId7"/>
    <sheet name="Innovaatio" sheetId="13" r:id="rId8"/>
    <sheet name="Ensihoito" sheetId="12" r:id="rId9"/>
    <sheet name="Hyte" sheetId="14" r:id="rId10"/>
    <sheet name="Virt. sote" sheetId="15" r:id="rId11"/>
    <sheet name="Jonojen purku" sheetId="16" r:id="rId12"/>
    <sheet name="YHTEENSÄ" sheetId="5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6" l="1"/>
  <c r="B36" i="5"/>
  <c r="B39" i="5" s="1"/>
  <c r="C23" i="5"/>
  <c r="C21" i="5"/>
  <c r="C22" i="5"/>
  <c r="C20" i="5"/>
  <c r="C13" i="5"/>
  <c r="C14" i="5"/>
  <c r="C15" i="5"/>
  <c r="C16" i="5"/>
  <c r="C17" i="5"/>
  <c r="C18" i="5"/>
  <c r="C12" i="5"/>
  <c r="C9" i="5"/>
  <c r="B30" i="16"/>
  <c r="D8" i="16"/>
  <c r="D11" i="16"/>
  <c r="D19" i="16"/>
  <c r="C9" i="15"/>
  <c r="C17" i="14"/>
  <c r="C16" i="14"/>
  <c r="C14" i="14"/>
  <c r="C13" i="14"/>
  <c r="C12" i="14"/>
  <c r="C9" i="14"/>
  <c r="C17" i="12"/>
  <c r="C15" i="12"/>
  <c r="C13" i="12"/>
  <c r="C9" i="12"/>
  <c r="C23" i="13"/>
  <c r="C17" i="13"/>
  <c r="C15" i="13"/>
  <c r="C13" i="13"/>
  <c r="C12" i="13"/>
  <c r="C9" i="13"/>
  <c r="C17" i="11"/>
  <c r="C16" i="11"/>
  <c r="C15" i="11"/>
  <c r="C13" i="11"/>
  <c r="C12" i="11"/>
  <c r="C9" i="11"/>
  <c r="C17" i="10"/>
  <c r="C12" i="10"/>
  <c r="C17" i="9"/>
  <c r="C16" i="9"/>
  <c r="C15" i="9"/>
  <c r="C13" i="9"/>
  <c r="C12" i="9"/>
  <c r="C9" i="9"/>
  <c r="F12" i="4"/>
  <c r="E12" i="4"/>
  <c r="C23" i="4"/>
  <c r="C17" i="4"/>
  <c r="C15" i="4"/>
  <c r="C13" i="4"/>
  <c r="C12" i="4"/>
  <c r="C9" i="4"/>
  <c r="F12" i="3"/>
  <c r="E12" i="3"/>
  <c r="C18" i="3"/>
  <c r="C17" i="3"/>
  <c r="C16" i="3"/>
  <c r="C15" i="3"/>
  <c r="C14" i="3"/>
  <c r="C13" i="3"/>
  <c r="C12" i="3"/>
  <c r="C9" i="3"/>
  <c r="K12" i="2"/>
  <c r="K10" i="2"/>
  <c r="G12" i="2"/>
  <c r="C18" i="2"/>
  <c r="C17" i="2"/>
  <c r="C16" i="2"/>
  <c r="C15" i="2"/>
  <c r="C14" i="2"/>
  <c r="C13" i="2"/>
  <c r="C12" i="2"/>
  <c r="C9" i="2"/>
  <c r="O12" i="1"/>
  <c r="C18" i="1"/>
  <c r="C17" i="1"/>
  <c r="C16" i="1"/>
  <c r="C15" i="1"/>
  <c r="C14" i="1"/>
  <c r="C13" i="1"/>
  <c r="C12" i="1"/>
  <c r="C9" i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23" i="5"/>
  <c r="N8" i="4"/>
  <c r="N8" i="1"/>
  <c r="B25" i="2"/>
  <c r="B32" i="15"/>
  <c r="B32" i="14"/>
  <c r="B32" i="12"/>
  <c r="B32" i="13"/>
  <c r="B32" i="11"/>
  <c r="B32" i="10"/>
  <c r="B35" i="9"/>
  <c r="B36" i="4"/>
  <c r="B36" i="3"/>
  <c r="B36" i="2"/>
  <c r="B35" i="1"/>
  <c r="D24" i="16" l="1"/>
  <c r="B20" i="1"/>
  <c r="B21" i="1"/>
  <c r="B22" i="1"/>
  <c r="C25" i="5" l="1"/>
  <c r="B25" i="5" s="1"/>
  <c r="D19" i="2" l="1"/>
  <c r="D11" i="2"/>
  <c r="D8" i="2"/>
  <c r="D24" i="2" l="1"/>
  <c r="D26" i="2" s="1"/>
  <c r="Q9" i="5"/>
  <c r="E8" i="16"/>
  <c r="E11" i="16"/>
  <c r="E19" i="16"/>
  <c r="E24" i="16" l="1"/>
  <c r="N9" i="5"/>
  <c r="N10" i="5"/>
  <c r="C10" i="5" l="1"/>
  <c r="B23" i="16"/>
  <c r="B22" i="16"/>
  <c r="B21" i="16"/>
  <c r="B20" i="16"/>
  <c r="C19" i="16"/>
  <c r="B19" i="16"/>
  <c r="B18" i="16"/>
  <c r="B17" i="16"/>
  <c r="B16" i="16"/>
  <c r="B15" i="16"/>
  <c r="B14" i="16"/>
  <c r="B13" i="16"/>
  <c r="B12" i="16"/>
  <c r="C11" i="16"/>
  <c r="B11" i="16" s="1"/>
  <c r="B10" i="16"/>
  <c r="B9" i="16"/>
  <c r="C8" i="16" l="1"/>
  <c r="C24" i="16" l="1"/>
  <c r="B8" i="16"/>
  <c r="B24" i="16" s="1"/>
  <c r="O21" i="5" l="1"/>
  <c r="O22" i="5"/>
  <c r="O20" i="5"/>
  <c r="O13" i="5"/>
  <c r="O14" i="5"/>
  <c r="O15" i="5"/>
  <c r="O16" i="5"/>
  <c r="O17" i="5"/>
  <c r="O18" i="5"/>
  <c r="O12" i="5"/>
  <c r="O10" i="5"/>
  <c r="O9" i="5"/>
  <c r="O19" i="9"/>
  <c r="O11" i="9"/>
  <c r="O8" i="9"/>
  <c r="O24" i="9" l="1"/>
  <c r="O8" i="5"/>
  <c r="O11" i="5"/>
  <c r="O19" i="5"/>
  <c r="O24" i="5" l="1"/>
  <c r="E20" i="5" l="1"/>
  <c r="F20" i="5"/>
  <c r="G20" i="5"/>
  <c r="H20" i="5"/>
  <c r="I20" i="5"/>
  <c r="J20" i="5"/>
  <c r="K20" i="5"/>
  <c r="L20" i="5"/>
  <c r="M20" i="5"/>
  <c r="N20" i="5"/>
  <c r="P20" i="5"/>
  <c r="Q20" i="5"/>
  <c r="R20" i="5"/>
  <c r="E21" i="5"/>
  <c r="F21" i="5"/>
  <c r="G21" i="5"/>
  <c r="H21" i="5"/>
  <c r="I21" i="5"/>
  <c r="J21" i="5"/>
  <c r="K21" i="5"/>
  <c r="L21" i="5"/>
  <c r="M21" i="5"/>
  <c r="N21" i="5"/>
  <c r="P21" i="5"/>
  <c r="Q21" i="5"/>
  <c r="R21" i="5"/>
  <c r="E22" i="5"/>
  <c r="F22" i="5"/>
  <c r="G22" i="5"/>
  <c r="H22" i="5"/>
  <c r="I22" i="5"/>
  <c r="J22" i="5"/>
  <c r="K22" i="5"/>
  <c r="L22" i="5"/>
  <c r="M22" i="5"/>
  <c r="N22" i="5"/>
  <c r="P22" i="5"/>
  <c r="Q22" i="5"/>
  <c r="R22" i="5"/>
  <c r="R23" i="5"/>
  <c r="D21" i="5"/>
  <c r="D22" i="5"/>
  <c r="D20" i="5"/>
  <c r="D16" i="5"/>
  <c r="E16" i="5"/>
  <c r="F16" i="5"/>
  <c r="G16" i="5"/>
  <c r="H16" i="5"/>
  <c r="I16" i="5"/>
  <c r="J16" i="5"/>
  <c r="K16" i="5"/>
  <c r="L16" i="5"/>
  <c r="M16" i="5"/>
  <c r="N16" i="5"/>
  <c r="P16" i="5"/>
  <c r="Q16" i="5"/>
  <c r="R16" i="5"/>
  <c r="D17" i="5"/>
  <c r="E17" i="5"/>
  <c r="F17" i="5"/>
  <c r="G17" i="5"/>
  <c r="H17" i="5"/>
  <c r="I17" i="5"/>
  <c r="J17" i="5"/>
  <c r="K17" i="5"/>
  <c r="L17" i="5"/>
  <c r="M17" i="5"/>
  <c r="N17" i="5"/>
  <c r="P17" i="5"/>
  <c r="Q17" i="5"/>
  <c r="R17" i="5"/>
  <c r="D18" i="5"/>
  <c r="E18" i="5"/>
  <c r="F18" i="5"/>
  <c r="G18" i="5"/>
  <c r="H18" i="5"/>
  <c r="I18" i="5"/>
  <c r="J18" i="5"/>
  <c r="K18" i="5"/>
  <c r="L18" i="5"/>
  <c r="M18" i="5"/>
  <c r="N18" i="5"/>
  <c r="P18" i="5"/>
  <c r="Q18" i="5"/>
  <c r="R18" i="5"/>
  <c r="E12" i="5"/>
  <c r="F12" i="5"/>
  <c r="G12" i="5"/>
  <c r="H12" i="5"/>
  <c r="I12" i="5"/>
  <c r="J12" i="5"/>
  <c r="K12" i="5"/>
  <c r="L12" i="5"/>
  <c r="M12" i="5"/>
  <c r="N12" i="5"/>
  <c r="P12" i="5"/>
  <c r="Q12" i="5"/>
  <c r="R12" i="5"/>
  <c r="E13" i="5"/>
  <c r="F13" i="5"/>
  <c r="G13" i="5"/>
  <c r="H13" i="5"/>
  <c r="I13" i="5"/>
  <c r="J13" i="5"/>
  <c r="K13" i="5"/>
  <c r="L13" i="5"/>
  <c r="M13" i="5"/>
  <c r="N13" i="5"/>
  <c r="P13" i="5"/>
  <c r="Q13" i="5"/>
  <c r="R13" i="5"/>
  <c r="E14" i="5"/>
  <c r="F14" i="5"/>
  <c r="G14" i="5"/>
  <c r="H14" i="5"/>
  <c r="I14" i="5"/>
  <c r="J14" i="5"/>
  <c r="K14" i="5"/>
  <c r="L14" i="5"/>
  <c r="M14" i="5"/>
  <c r="N14" i="5"/>
  <c r="P14" i="5"/>
  <c r="Q14" i="5"/>
  <c r="R14" i="5"/>
  <c r="E15" i="5"/>
  <c r="F15" i="5"/>
  <c r="G15" i="5"/>
  <c r="H15" i="5"/>
  <c r="I15" i="5"/>
  <c r="J15" i="5"/>
  <c r="K15" i="5"/>
  <c r="L15" i="5"/>
  <c r="M15" i="5"/>
  <c r="N15" i="5"/>
  <c r="P15" i="5"/>
  <c r="Q15" i="5"/>
  <c r="R15" i="5"/>
  <c r="D13" i="5"/>
  <c r="D14" i="5"/>
  <c r="D15" i="5"/>
  <c r="D12" i="5"/>
  <c r="D10" i="5"/>
  <c r="E10" i="5"/>
  <c r="F10" i="5"/>
  <c r="G10" i="5"/>
  <c r="H10" i="5"/>
  <c r="I10" i="5"/>
  <c r="J10" i="5"/>
  <c r="K10" i="5"/>
  <c r="L10" i="5"/>
  <c r="M10" i="5"/>
  <c r="P10" i="5"/>
  <c r="Q10" i="5"/>
  <c r="R10" i="5"/>
  <c r="E9" i="5"/>
  <c r="F9" i="5"/>
  <c r="G9" i="5"/>
  <c r="H9" i="5"/>
  <c r="I9" i="5"/>
  <c r="J9" i="5"/>
  <c r="K9" i="5"/>
  <c r="L9" i="5"/>
  <c r="M9" i="5"/>
  <c r="P9" i="5"/>
  <c r="R9" i="5"/>
  <c r="D9" i="5"/>
  <c r="B23" i="15"/>
  <c r="B22" i="15"/>
  <c r="B21" i="15"/>
  <c r="B20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8" i="15"/>
  <c r="B17" i="15"/>
  <c r="B16" i="15"/>
  <c r="B15" i="15"/>
  <c r="B14" i="15"/>
  <c r="B13" i="15"/>
  <c r="B12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0" i="15"/>
  <c r="B9" i="15"/>
  <c r="Q8" i="15"/>
  <c r="Q24" i="15" s="1"/>
  <c r="P8" i="15"/>
  <c r="O8" i="15"/>
  <c r="N8" i="15"/>
  <c r="M8" i="15"/>
  <c r="L8" i="15"/>
  <c r="K8" i="15"/>
  <c r="J8" i="15"/>
  <c r="I8" i="15"/>
  <c r="I24" i="15" s="1"/>
  <c r="H8" i="15"/>
  <c r="G8" i="15"/>
  <c r="F8" i="15"/>
  <c r="E8" i="15"/>
  <c r="D8" i="15"/>
  <c r="C8" i="15"/>
  <c r="B23" i="14"/>
  <c r="B22" i="14"/>
  <c r="B21" i="14"/>
  <c r="B20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8" i="14"/>
  <c r="B17" i="14"/>
  <c r="B16" i="14"/>
  <c r="B15" i="14"/>
  <c r="B14" i="14"/>
  <c r="B13" i="14"/>
  <c r="B12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0" i="14"/>
  <c r="B9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23" i="12"/>
  <c r="B22" i="12"/>
  <c r="B21" i="12"/>
  <c r="B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8" i="12"/>
  <c r="B17" i="12"/>
  <c r="B16" i="12"/>
  <c r="B15" i="12"/>
  <c r="B14" i="12"/>
  <c r="B13" i="12"/>
  <c r="B12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0" i="12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23" i="13"/>
  <c r="B22" i="13"/>
  <c r="B21" i="13"/>
  <c r="B20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8" i="13"/>
  <c r="B17" i="13"/>
  <c r="B16" i="13"/>
  <c r="B15" i="13"/>
  <c r="B14" i="13"/>
  <c r="B13" i="13"/>
  <c r="B12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0" i="13"/>
  <c r="B9" i="13"/>
  <c r="Q8" i="13"/>
  <c r="P8" i="13"/>
  <c r="O8" i="13"/>
  <c r="N8" i="13"/>
  <c r="M8" i="13"/>
  <c r="M24" i="13" s="1"/>
  <c r="L8" i="13"/>
  <c r="K8" i="13"/>
  <c r="J8" i="13"/>
  <c r="I8" i="13"/>
  <c r="H8" i="13"/>
  <c r="G8" i="13"/>
  <c r="F8" i="13"/>
  <c r="E8" i="13"/>
  <c r="E24" i="13" s="1"/>
  <c r="D8" i="13"/>
  <c r="C8" i="13"/>
  <c r="B23" i="11"/>
  <c r="B22" i="11"/>
  <c r="B21" i="11"/>
  <c r="B20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8" i="11"/>
  <c r="B17" i="11"/>
  <c r="B16" i="11"/>
  <c r="B15" i="11"/>
  <c r="B14" i="11"/>
  <c r="B13" i="11"/>
  <c r="B12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0" i="11"/>
  <c r="B9" i="11"/>
  <c r="Q8" i="11"/>
  <c r="P8" i="11"/>
  <c r="O8" i="11"/>
  <c r="N8" i="11"/>
  <c r="M8" i="11"/>
  <c r="L8" i="11"/>
  <c r="K8" i="11"/>
  <c r="J8" i="11"/>
  <c r="I8" i="11"/>
  <c r="I24" i="11" s="1"/>
  <c r="H8" i="11"/>
  <c r="G8" i="11"/>
  <c r="F8" i="11"/>
  <c r="E8" i="11"/>
  <c r="D8" i="11"/>
  <c r="C8" i="11"/>
  <c r="B23" i="10"/>
  <c r="B22" i="10"/>
  <c r="B21" i="10"/>
  <c r="B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8" i="10"/>
  <c r="B17" i="10"/>
  <c r="B16" i="10"/>
  <c r="B15" i="10"/>
  <c r="B14" i="10"/>
  <c r="B13" i="10"/>
  <c r="B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0" i="10"/>
  <c r="B9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23" i="9"/>
  <c r="B21" i="9"/>
  <c r="B22" i="9"/>
  <c r="B20" i="9"/>
  <c r="B16" i="9"/>
  <c r="B17" i="9"/>
  <c r="B18" i="9"/>
  <c r="B13" i="9"/>
  <c r="B14" i="9"/>
  <c r="B15" i="9"/>
  <c r="B12" i="9"/>
  <c r="B10" i="9"/>
  <c r="B9" i="9"/>
  <c r="R8" i="9"/>
  <c r="R11" i="9"/>
  <c r="R19" i="9"/>
  <c r="G24" i="15" l="1"/>
  <c r="O24" i="15"/>
  <c r="D24" i="15"/>
  <c r="L24" i="15"/>
  <c r="Q24" i="14"/>
  <c r="K24" i="12"/>
  <c r="H24" i="12"/>
  <c r="P24" i="12"/>
  <c r="J24" i="13"/>
  <c r="B19" i="13"/>
  <c r="O24" i="11"/>
  <c r="Q24" i="11"/>
  <c r="E24" i="10"/>
  <c r="K24" i="11"/>
  <c r="I24" i="13"/>
  <c r="Q24" i="13"/>
  <c r="G24" i="12"/>
  <c r="O24" i="12"/>
  <c r="E24" i="14"/>
  <c r="M24" i="14"/>
  <c r="O24" i="10"/>
  <c r="E24" i="11"/>
  <c r="K24" i="13"/>
  <c r="I24" i="12"/>
  <c r="Q24" i="12"/>
  <c r="G24" i="14"/>
  <c r="O24" i="14"/>
  <c r="E24" i="15"/>
  <c r="M24" i="15"/>
  <c r="F24" i="11"/>
  <c r="N24" i="11"/>
  <c r="D24" i="13"/>
  <c r="L24" i="13"/>
  <c r="B11" i="13"/>
  <c r="J24" i="12"/>
  <c r="N24" i="15"/>
  <c r="J24" i="10"/>
  <c r="P24" i="11"/>
  <c r="F24" i="13"/>
  <c r="N24" i="13"/>
  <c r="D24" i="12"/>
  <c r="L24" i="12"/>
  <c r="B11" i="12"/>
  <c r="J24" i="14"/>
  <c r="B19" i="14"/>
  <c r="P24" i="15"/>
  <c r="G24" i="13"/>
  <c r="O24" i="13"/>
  <c r="E24" i="12"/>
  <c r="M24" i="12"/>
  <c r="K24" i="14"/>
  <c r="J24" i="11"/>
  <c r="H24" i="13"/>
  <c r="P24" i="13"/>
  <c r="F24" i="12"/>
  <c r="N24" i="12"/>
  <c r="D24" i="14"/>
  <c r="L24" i="14"/>
  <c r="J24" i="15"/>
  <c r="H24" i="15"/>
  <c r="K24" i="15"/>
  <c r="F24" i="15"/>
  <c r="I24" i="14"/>
  <c r="H24" i="11"/>
  <c r="D24" i="11"/>
  <c r="L24" i="11"/>
  <c r="G24" i="11"/>
  <c r="K24" i="10"/>
  <c r="D24" i="10"/>
  <c r="L24" i="10"/>
  <c r="F24" i="10"/>
  <c r="N24" i="10"/>
  <c r="I24" i="10"/>
  <c r="Q24" i="10"/>
  <c r="C24" i="15"/>
  <c r="P24" i="14"/>
  <c r="N24" i="14"/>
  <c r="H24" i="14"/>
  <c r="C24" i="14"/>
  <c r="P24" i="10"/>
  <c r="R24" i="9"/>
  <c r="C24" i="10"/>
  <c r="C24" i="12"/>
  <c r="B8" i="12"/>
  <c r="C24" i="13"/>
  <c r="C24" i="11"/>
  <c r="G24" i="10"/>
  <c r="M24" i="10"/>
  <c r="M24" i="11"/>
  <c r="F24" i="14"/>
  <c r="H24" i="10"/>
  <c r="B11" i="15"/>
  <c r="C8" i="5"/>
  <c r="B8" i="14"/>
  <c r="B11" i="10"/>
  <c r="B11" i="14"/>
  <c r="B8" i="11"/>
  <c r="B8" i="15"/>
  <c r="B8" i="10"/>
  <c r="B19" i="10"/>
  <c r="B19" i="11"/>
  <c r="B19" i="12"/>
  <c r="B19" i="15"/>
  <c r="B8" i="13"/>
  <c r="B11" i="11"/>
  <c r="B24" i="13" l="1"/>
  <c r="B24" i="12"/>
  <c r="B24" i="11"/>
  <c r="B24" i="15"/>
  <c r="B24" i="14"/>
  <c r="B24" i="10"/>
  <c r="P8" i="4" l="1"/>
  <c r="P11" i="4"/>
  <c r="P19" i="4"/>
  <c r="Q8" i="2"/>
  <c r="Q11" i="2"/>
  <c r="Q19" i="2"/>
  <c r="Q24" i="2" l="1"/>
  <c r="P24" i="4"/>
  <c r="Q19" i="5"/>
  <c r="Q11" i="5"/>
  <c r="Q8" i="5"/>
  <c r="R19" i="5"/>
  <c r="R11" i="5"/>
  <c r="R8" i="5"/>
  <c r="R24" i="5" l="1"/>
  <c r="Q24" i="5"/>
  <c r="B10" i="3"/>
  <c r="B9" i="3"/>
  <c r="B12" i="3"/>
  <c r="B13" i="3"/>
  <c r="B14" i="3"/>
  <c r="B17" i="3"/>
  <c r="B23" i="3"/>
  <c r="P19" i="3"/>
  <c r="P11" i="3"/>
  <c r="P8" i="3"/>
  <c r="P24" i="3" l="1"/>
  <c r="B15" i="3"/>
  <c r="B23" i="4" l="1"/>
  <c r="B23" i="2"/>
  <c r="B23" i="1"/>
  <c r="B23" i="5" l="1"/>
  <c r="B10" i="1" l="1"/>
  <c r="B12" i="4" l="1"/>
  <c r="B13" i="4"/>
  <c r="B14" i="4"/>
  <c r="B15" i="4"/>
  <c r="B16" i="4"/>
  <c r="B17" i="4"/>
  <c r="B18" i="4"/>
  <c r="B9" i="4"/>
  <c r="B10" i="4"/>
  <c r="B16" i="3"/>
  <c r="B18" i="3"/>
  <c r="B12" i="2"/>
  <c r="B13" i="2"/>
  <c r="B14" i="2"/>
  <c r="B15" i="2"/>
  <c r="B16" i="2"/>
  <c r="B17" i="2"/>
  <c r="B18" i="2"/>
  <c r="B10" i="2"/>
  <c r="B9" i="2"/>
  <c r="B12" i="1"/>
  <c r="B13" i="1"/>
  <c r="B14" i="1"/>
  <c r="B15" i="1"/>
  <c r="B16" i="1"/>
  <c r="B17" i="1"/>
  <c r="B18" i="1"/>
  <c r="B9" i="1"/>
  <c r="Q19" i="9" l="1"/>
  <c r="P19" i="9"/>
  <c r="N19" i="9"/>
  <c r="M19" i="9"/>
  <c r="L19" i="9"/>
  <c r="K19" i="9"/>
  <c r="J19" i="9"/>
  <c r="I19" i="9"/>
  <c r="H19" i="9"/>
  <c r="G19" i="9"/>
  <c r="F19" i="9"/>
  <c r="E19" i="9"/>
  <c r="D19" i="9"/>
  <c r="C19" i="9"/>
  <c r="Q11" i="9"/>
  <c r="P11" i="9"/>
  <c r="N11" i="9"/>
  <c r="M11" i="9"/>
  <c r="L11" i="9"/>
  <c r="K11" i="9"/>
  <c r="J11" i="9"/>
  <c r="I11" i="9"/>
  <c r="H11" i="9"/>
  <c r="G11" i="9"/>
  <c r="F11" i="9"/>
  <c r="E11" i="9"/>
  <c r="D11" i="9"/>
  <c r="C11" i="9"/>
  <c r="Q8" i="9"/>
  <c r="P8" i="9"/>
  <c r="N8" i="9"/>
  <c r="M8" i="9"/>
  <c r="L8" i="9"/>
  <c r="K8" i="9"/>
  <c r="J8" i="9"/>
  <c r="I8" i="9"/>
  <c r="H8" i="9"/>
  <c r="G8" i="9"/>
  <c r="F8" i="9"/>
  <c r="E8" i="9"/>
  <c r="D8" i="9"/>
  <c r="C8" i="9"/>
  <c r="E24" i="9" l="1"/>
  <c r="F24" i="9"/>
  <c r="M24" i="9"/>
  <c r="H24" i="9"/>
  <c r="C24" i="9"/>
  <c r="G24" i="9"/>
  <c r="Q24" i="9"/>
  <c r="J24" i="9"/>
  <c r="P24" i="9"/>
  <c r="I24" i="9"/>
  <c r="K24" i="9"/>
  <c r="D24" i="9"/>
  <c r="L24" i="9"/>
  <c r="N24" i="9"/>
  <c r="P8" i="5"/>
  <c r="B8" i="9"/>
  <c r="B11" i="9"/>
  <c r="B19" i="9"/>
  <c r="B24" i="9" l="1"/>
  <c r="D8" i="5"/>
  <c r="D11" i="5"/>
  <c r="D19" i="5"/>
  <c r="D24" i="5" l="1"/>
  <c r="G19" i="5"/>
  <c r="H8" i="5"/>
  <c r="E8" i="5"/>
  <c r="P19" i="5"/>
  <c r="Q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8" i="4"/>
  <c r="O8" i="4"/>
  <c r="M8" i="4"/>
  <c r="L8" i="4"/>
  <c r="K8" i="4"/>
  <c r="J8" i="4"/>
  <c r="I8" i="4"/>
  <c r="H8" i="4"/>
  <c r="G8" i="4"/>
  <c r="F8" i="4"/>
  <c r="E8" i="4"/>
  <c r="D8" i="4"/>
  <c r="C8" i="4"/>
  <c r="Q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Q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Q8" i="3"/>
  <c r="O8" i="3"/>
  <c r="N8" i="3"/>
  <c r="M8" i="3"/>
  <c r="L8" i="3"/>
  <c r="K8" i="3"/>
  <c r="J8" i="3"/>
  <c r="I8" i="3"/>
  <c r="H8" i="3"/>
  <c r="G8" i="3"/>
  <c r="F8" i="3"/>
  <c r="E8" i="3"/>
  <c r="D8" i="3"/>
  <c r="D24" i="3" s="1"/>
  <c r="C8" i="3"/>
  <c r="R19" i="2"/>
  <c r="P19" i="2"/>
  <c r="O19" i="2"/>
  <c r="N19" i="2"/>
  <c r="M19" i="2"/>
  <c r="L19" i="2"/>
  <c r="K19" i="2"/>
  <c r="J19" i="2"/>
  <c r="I19" i="2"/>
  <c r="H19" i="2"/>
  <c r="G19" i="2"/>
  <c r="F19" i="2"/>
  <c r="E19" i="2"/>
  <c r="C19" i="2"/>
  <c r="R11" i="2"/>
  <c r="P11" i="2"/>
  <c r="O11" i="2"/>
  <c r="N11" i="2"/>
  <c r="M11" i="2"/>
  <c r="L11" i="2"/>
  <c r="K11" i="2"/>
  <c r="J11" i="2"/>
  <c r="I11" i="2"/>
  <c r="H11" i="2"/>
  <c r="G11" i="2"/>
  <c r="F11" i="2"/>
  <c r="E11" i="2"/>
  <c r="C11" i="2"/>
  <c r="R8" i="2"/>
  <c r="P8" i="2"/>
  <c r="O8" i="2"/>
  <c r="N8" i="2"/>
  <c r="M8" i="2"/>
  <c r="L8" i="2"/>
  <c r="K8" i="2"/>
  <c r="J8" i="2"/>
  <c r="I8" i="2"/>
  <c r="H8" i="2"/>
  <c r="G8" i="2"/>
  <c r="F8" i="2"/>
  <c r="E8" i="2"/>
  <c r="C8" i="2"/>
  <c r="L24" i="4" l="1"/>
  <c r="D24" i="4"/>
  <c r="Q24" i="4"/>
  <c r="I24" i="4"/>
  <c r="H24" i="4"/>
  <c r="K24" i="4"/>
  <c r="O24" i="3"/>
  <c r="Q24" i="3"/>
  <c r="I24" i="2"/>
  <c r="R24" i="2"/>
  <c r="L24" i="2"/>
  <c r="E24" i="2"/>
  <c r="M24" i="2"/>
  <c r="J24" i="4"/>
  <c r="K24" i="3"/>
  <c r="L24" i="3"/>
  <c r="J24" i="3"/>
  <c r="M24" i="3"/>
  <c r="G24" i="2"/>
  <c r="C24" i="4"/>
  <c r="P24" i="2"/>
  <c r="M24" i="4"/>
  <c r="J24" i="2"/>
  <c r="F24" i="2"/>
  <c r="O24" i="4"/>
  <c r="K24" i="2"/>
  <c r="G24" i="4"/>
  <c r="F24" i="4"/>
  <c r="N24" i="2"/>
  <c r="F24" i="3"/>
  <c r="H24" i="2"/>
  <c r="G24" i="3"/>
  <c r="I24" i="3"/>
  <c r="N24" i="4"/>
  <c r="N24" i="3"/>
  <c r="O24" i="2"/>
  <c r="E24" i="4"/>
  <c r="E24" i="3"/>
  <c r="H24" i="3"/>
  <c r="C24" i="2"/>
  <c r="B19" i="4"/>
  <c r="B19" i="3"/>
  <c r="C24" i="3"/>
  <c r="B19" i="2"/>
  <c r="L19" i="5"/>
  <c r="N8" i="5"/>
  <c r="E11" i="5"/>
  <c r="M11" i="5"/>
  <c r="J19" i="5"/>
  <c r="B14" i="5"/>
  <c r="E19" i="5"/>
  <c r="I11" i="5"/>
  <c r="H19" i="5"/>
  <c r="J8" i="5"/>
  <c r="I8" i="5"/>
  <c r="B10" i="5"/>
  <c r="H11" i="5"/>
  <c r="J11" i="5"/>
  <c r="P11" i="5"/>
  <c r="P24" i="5" s="1"/>
  <c r="F8" i="5"/>
  <c r="I19" i="5"/>
  <c r="N19" i="5"/>
  <c r="B20" i="5"/>
  <c r="L8" i="5"/>
  <c r="L11" i="5"/>
  <c r="N11" i="5"/>
  <c r="K19" i="5"/>
  <c r="C19" i="5"/>
  <c r="B18" i="5"/>
  <c r="M8" i="5"/>
  <c r="M19" i="5"/>
  <c r="B21" i="5"/>
  <c r="K11" i="5"/>
  <c r="B22" i="5"/>
  <c r="B11" i="4"/>
  <c r="B11" i="2"/>
  <c r="G11" i="5"/>
  <c r="B11" i="3"/>
  <c r="B17" i="5"/>
  <c r="B13" i="5"/>
  <c r="C11" i="5"/>
  <c r="F19" i="5"/>
  <c r="F11" i="5"/>
  <c r="B16" i="5"/>
  <c r="B15" i="5"/>
  <c r="B12" i="5"/>
  <c r="K8" i="5"/>
  <c r="G8" i="5"/>
  <c r="B8" i="4"/>
  <c r="B8" i="3"/>
  <c r="B8" i="2"/>
  <c r="J24" i="5" l="1"/>
  <c r="F24" i="5"/>
  <c r="M24" i="5"/>
  <c r="H24" i="5"/>
  <c r="L24" i="5"/>
  <c r="K24" i="5"/>
  <c r="I24" i="5"/>
  <c r="E24" i="5"/>
  <c r="G24" i="5"/>
  <c r="N24" i="5"/>
  <c r="C24" i="5"/>
  <c r="C26" i="5" s="1"/>
  <c r="B24" i="3"/>
  <c r="B24" i="2"/>
  <c r="B24" i="4"/>
  <c r="B19" i="5"/>
  <c r="B11" i="5"/>
  <c r="B26" i="2" l="1"/>
  <c r="B9" i="5"/>
  <c r="B8" i="5" l="1"/>
  <c r="B24" i="5" s="1"/>
  <c r="B26" i="5" s="1"/>
  <c r="C19" i="1" l="1"/>
  <c r="C11" i="1"/>
  <c r="C8" i="1"/>
  <c r="C24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D8" i="1"/>
  <c r="E8" i="1"/>
  <c r="F8" i="1"/>
  <c r="G8" i="1"/>
  <c r="H8" i="1"/>
  <c r="I8" i="1"/>
  <c r="J8" i="1"/>
  <c r="K8" i="1"/>
  <c r="L8" i="1"/>
  <c r="M8" i="1"/>
  <c r="O8" i="1"/>
  <c r="P8" i="1"/>
  <c r="Q8" i="1"/>
  <c r="B19" i="1" l="1"/>
  <c r="F24" i="1"/>
  <c r="K24" i="1"/>
  <c r="L24" i="1"/>
  <c r="D24" i="1"/>
  <c r="Q24" i="1"/>
  <c r="M24" i="1"/>
  <c r="I24" i="1"/>
  <c r="H24" i="1"/>
  <c r="E24" i="1"/>
  <c r="J24" i="1"/>
  <c r="G24" i="1"/>
  <c r="P24" i="1"/>
  <c r="O24" i="1"/>
  <c r="N24" i="1"/>
  <c r="B11" i="1"/>
  <c r="B8" i="1"/>
  <c r="B24" i="1" l="1"/>
  <c r="B29" i="5" l="1"/>
  <c r="B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Salmela Ville</author>
  </authors>
  <commentList>
    <comment ref="O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Salmela Ville:</t>
        </r>
        <r>
          <rPr>
            <sz val="9"/>
            <color indexed="81"/>
            <rFont val="Tahoma"/>
            <family val="2"/>
          </rPr>
          <t xml:space="preserve">
Hyvä vastaanotto-valmennuskoulutuksen kustannukset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Salmela Ville</author>
  </authors>
  <commentList>
    <comment ref="C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Salmela Ville:</t>
        </r>
        <r>
          <rPr>
            <sz val="9"/>
            <color indexed="81"/>
            <rFont val="Tahoma"/>
            <family val="2"/>
          </rPr>
          <t xml:space="preserve">
Ohjausryhmän kokouspalkkiot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Salmela Ville</author>
  </authors>
  <commentList>
    <comment ref="C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Salmela Ville:</t>
        </r>
        <r>
          <rPr>
            <sz val="9"/>
            <color indexed="81"/>
            <rFont val="Tahoma"/>
            <family val="2"/>
          </rPr>
          <t xml:space="preserve">
Osa henkilöstökuluista kirjautunut Hyteen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Salmela Ville</author>
  </authors>
  <commentList>
    <comment ref="C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Salmela Ville:</t>
        </r>
        <r>
          <rPr>
            <sz val="9"/>
            <color indexed="81"/>
            <rFont val="Tahoma"/>
            <family val="2"/>
          </rPr>
          <t xml:space="preserve">
Tässä mukana ensihoidon kustannuksia sopimuksilla olleen väärän projektikoodin takia. Lisä- ja ylityökorvaukset 1137,38 vähennetty.</t>
        </r>
      </text>
    </comment>
  </commentList>
</comments>
</file>

<file path=xl/sharedStrings.xml><?xml version="1.0" encoding="utf-8"?>
<sst xmlns="http://schemas.openxmlformats.org/spreadsheetml/2006/main" count="574" uniqueCount="88">
  <si>
    <t>POPsote</t>
  </si>
  <si>
    <t>LAPSET, NUORET JA PERHEET -KEHITTÄMISOHJELMA (LAPE)</t>
  </si>
  <si>
    <t>P30111</t>
  </si>
  <si>
    <t>YHTEENSÄ</t>
  </si>
  <si>
    <t>Hailuoto</t>
  </si>
  <si>
    <t>Helmi</t>
  </si>
  <si>
    <t>Kalajoki</t>
  </si>
  <si>
    <t>Kallio</t>
  </si>
  <si>
    <t>Kempele</t>
  </si>
  <si>
    <t>Kuusamo</t>
  </si>
  <si>
    <t>Liminka</t>
  </si>
  <si>
    <t>Muhos</t>
  </si>
  <si>
    <t>Oulainen</t>
  </si>
  <si>
    <t>Oulu</t>
  </si>
  <si>
    <t>Oulunkaari</t>
  </si>
  <si>
    <t>RAS</t>
  </si>
  <si>
    <t>Selänne</t>
  </si>
  <si>
    <t>Taivalkoski</t>
  </si>
  <si>
    <t>Henkilöstökulut, joista</t>
  </si>
  <si>
    <t>Projektiin palkattava henkilöstö</t>
  </si>
  <si>
    <t>Työpanoksen siirto</t>
  </si>
  <si>
    <t>Palvelujen ostot yhteensä, josta</t>
  </si>
  <si>
    <t>Asiantuntijapalvelut</t>
  </si>
  <si>
    <t>Matkustus- ja majoituskulut</t>
  </si>
  <si>
    <t>Koulutuspalvelut</t>
  </si>
  <si>
    <t>Muut palvelujen ostot</t>
  </si>
  <si>
    <t>Aineet, tarvikkeet ja tavarat</t>
  </si>
  <si>
    <t>Vuokrat</t>
  </si>
  <si>
    <t>Muut menot</t>
  </si>
  <si>
    <t>Investointikulut yhteensä, josta</t>
  </si>
  <si>
    <t>Aineettomat hyödykkeet</t>
  </si>
  <si>
    <t>Koneet ja kalusto</t>
  </si>
  <si>
    <t>Muut investointikulut</t>
  </si>
  <si>
    <t>Sisäiset tulot</t>
  </si>
  <si>
    <t>KOKONAISKULUT</t>
  </si>
  <si>
    <t>Toteuma 2020</t>
  </si>
  <si>
    <t>Toteuma 1-6/2021</t>
  </si>
  <si>
    <t>Toteuma 7-12/2021</t>
  </si>
  <si>
    <t>Toteuma 1-6/2022</t>
  </si>
  <si>
    <t>Kaikki yhteensä</t>
  </si>
  <si>
    <t>MIELENTERVEYS- JA PÄIHDEPALVELUT -KEHITTÄMISOHJELMA</t>
  </si>
  <si>
    <t>P30211</t>
  </si>
  <si>
    <t>P30221</t>
  </si>
  <si>
    <t>Muiden maakuntien osuus NMOK</t>
  </si>
  <si>
    <t>Lopulliset kulut</t>
  </si>
  <si>
    <t>IKÄIHMISTEN PALVELUT -KEHITTÄMISOHJELMA</t>
  </si>
  <si>
    <t>P30311</t>
  </si>
  <si>
    <t xml:space="preserve">HOITOTAKUU-KEHITTÄMISOHJELMA </t>
  </si>
  <si>
    <t>P30411</t>
  </si>
  <si>
    <t>KUNTOUTUS-KEHITTÄMISOHJELMA</t>
  </si>
  <si>
    <t>P30511</t>
  </si>
  <si>
    <t>Raahe</t>
  </si>
  <si>
    <t>VAMMAISPALVELUT-KEHITTÄMISOHJELMA</t>
  </si>
  <si>
    <t>P30611</t>
  </si>
  <si>
    <t>HANKETOIMISTO</t>
  </si>
  <si>
    <t>P30711 + P30721</t>
  </si>
  <si>
    <t>P30811</t>
  </si>
  <si>
    <t>ENSIHOITO-KEHITTÄMISOHJELMA</t>
  </si>
  <si>
    <t>P30821</t>
  </si>
  <si>
    <t>HYTE-KEHITTÄMISOHJELMA</t>
  </si>
  <si>
    <t>P30831</t>
  </si>
  <si>
    <t>VIRTUAALINEN SOTE-KESKUS-KEHITTÄMISOHJELMA</t>
  </si>
  <si>
    <t>P30841</t>
  </si>
  <si>
    <t>Jonojen purku / Etälääketieteellisen tuen keskus</t>
  </si>
  <si>
    <t>P30911</t>
  </si>
  <si>
    <t>KEHITTÄMISOHJELMAT YHTEENSÄ</t>
  </si>
  <si>
    <t>LOPULLISET KULUT</t>
  </si>
  <si>
    <t>LNP kokonaiskulut</t>
  </si>
  <si>
    <t xml:space="preserve">Muut </t>
  </si>
  <si>
    <t>Toteuma 7-12/2022</t>
  </si>
  <si>
    <t xml:space="preserve">Valtionavustuspäätöksissä tulleet muutokset. Näitä ei ole huomioitu taulukon luvuissa: </t>
  </si>
  <si>
    <t>2020 Oulainen + 25,8e</t>
  </si>
  <si>
    <t>2020 Liminka -1e</t>
  </si>
  <si>
    <t>1-6/2021 Kalajoki 48,76e</t>
  </si>
  <si>
    <t>1-6/2021 Selänne -0,02e</t>
  </si>
  <si>
    <t>7-12/2021 PPSHP -4617,06e</t>
  </si>
  <si>
    <t>7-12/2021 Kuusamo -266,12e</t>
  </si>
  <si>
    <t>1-6/2022 PPSHP -13,87e</t>
  </si>
  <si>
    <t>1-6/2022 Oulu -991,94e</t>
  </si>
  <si>
    <t>1-6/2022 Kuusamo -100e</t>
  </si>
  <si>
    <t>7-12/2022 PPSHP 2176,65e</t>
  </si>
  <si>
    <t>7-12/2022 PPSHP 14 418,5e</t>
  </si>
  <si>
    <t>7-12/2022 PPSHP 5430,71e</t>
  </si>
  <si>
    <t>PPSHP/Pohde</t>
  </si>
  <si>
    <t>Toteuma 1-6/2023</t>
  </si>
  <si>
    <t>Toteuma 7-12/2023</t>
  </si>
  <si>
    <t>TULEVAISUUDEN SOTE-KESKUS/ talouden toteutuma 2020-2023</t>
  </si>
  <si>
    <t>P30921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</si>
</sst>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/>
    <xf numFmtId="2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hde.sharepoint.com/sites/POPsote-Maksatushakemukset/Shared%20Documents/Maksatushakemukset/2023/Tulsote%207-12%202023/Tulsote%20kustannusyhteenveto%207-12%202023.xlsx" TargetMode="External"/><Relationship Id="rId1" Type="http://schemas.openxmlformats.org/officeDocument/2006/relationships/externalLinkPath" Target="https://pohde.sharepoint.com/sites/POPsote-Maksatushakemukset/Shared%20Documents/Maksatushakemukset/2023/Tulsote%207-12%202023/Tulsote%20kustannusyhteenveto%207-12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NP"/>
      <sheetName val="MiPä"/>
      <sheetName val="IKÄ"/>
      <sheetName val="HOITOT"/>
      <sheetName val="Kuntoutus"/>
      <sheetName val="Vammaispalvelut"/>
      <sheetName val="Hanketoimisto"/>
      <sheetName val="Innovaatio"/>
      <sheetName val="Ensihoito"/>
      <sheetName val="Hyte"/>
      <sheetName val="Virt. sote"/>
      <sheetName val="Jonojen purku"/>
      <sheetName val="YHTEENSÄ"/>
    </sheetNames>
    <sheetDataSet>
      <sheetData sheetId="0">
        <row r="32">
          <cell r="B32">
            <v>470209.82</v>
          </cell>
        </row>
      </sheetData>
      <sheetData sheetId="1">
        <row r="32">
          <cell r="B32">
            <v>276455.53000000003</v>
          </cell>
        </row>
      </sheetData>
      <sheetData sheetId="2">
        <row r="33">
          <cell r="B33">
            <v>235098.42</v>
          </cell>
        </row>
      </sheetData>
      <sheetData sheetId="3">
        <row r="33">
          <cell r="B33">
            <v>319019.14</v>
          </cell>
        </row>
      </sheetData>
      <sheetData sheetId="4">
        <row r="32">
          <cell r="B32">
            <v>231821.76</v>
          </cell>
        </row>
      </sheetData>
      <sheetData sheetId="5">
        <row r="29">
          <cell r="B29">
            <v>30130.1</v>
          </cell>
        </row>
      </sheetData>
      <sheetData sheetId="6">
        <row r="29">
          <cell r="B29">
            <v>219270.5</v>
          </cell>
        </row>
      </sheetData>
      <sheetData sheetId="7">
        <row r="29">
          <cell r="B29">
            <v>63694.49</v>
          </cell>
        </row>
      </sheetData>
      <sheetData sheetId="8">
        <row r="29">
          <cell r="B29">
            <v>215927.63</v>
          </cell>
        </row>
      </sheetData>
      <sheetData sheetId="9">
        <row r="29">
          <cell r="B29">
            <v>116627.33</v>
          </cell>
        </row>
      </sheetData>
      <sheetData sheetId="10">
        <row r="29">
          <cell r="B29">
            <v>11594.27</v>
          </cell>
        </row>
      </sheetData>
      <sheetData sheetId="11">
        <row r="27">
          <cell r="B27">
            <v>180316.14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R35"/>
  <sheetViews>
    <sheetView zoomScale="85" zoomScaleNormal="85" workbookViewId="0">
      <pane xSplit="1" topLeftCell="B1" activePane="topRight" state="frozen"/>
      <selection activeCell="A4" sqref="A4"/>
      <selection pane="topRight" activeCell="A4" sqref="A4"/>
    </sheetView>
  </sheetViews>
  <sheetFormatPr defaultRowHeight="14.4" x14ac:dyDescent="0.3"/>
  <cols>
    <col min="1" max="1" width="29.44140625" customWidth="1"/>
    <col min="2" max="17" width="13.5546875" style="3" customWidth="1"/>
  </cols>
  <sheetData>
    <row r="1" spans="1:18" x14ac:dyDescent="0.3">
      <c r="A1" t="s">
        <v>0</v>
      </c>
    </row>
    <row r="3" spans="1:18" ht="18" x14ac:dyDescent="0.35">
      <c r="A3" s="2" t="s">
        <v>86</v>
      </c>
      <c r="R3" s="3"/>
    </row>
    <row r="5" spans="1:18" ht="18" x14ac:dyDescent="0.35">
      <c r="A5" s="2" t="s">
        <v>1</v>
      </c>
    </row>
    <row r="6" spans="1:18" ht="13.95" customHeight="1" x14ac:dyDescent="0.35">
      <c r="A6" s="2"/>
      <c r="C6" s="3" t="s">
        <v>2</v>
      </c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 t="shared" ref="B8:B22" si="0">SUM(C8:Q8)</f>
        <v>2702285.7</v>
      </c>
      <c r="C8" s="5">
        <f t="shared" ref="C8:Q8" si="1">SUM(C9:C10)</f>
        <v>1113462.1300000001</v>
      </c>
      <c r="D8" s="15">
        <f t="shared" si="1"/>
        <v>0</v>
      </c>
      <c r="E8" s="15">
        <f t="shared" si="1"/>
        <v>44563.68</v>
      </c>
      <c r="F8" s="5">
        <f t="shared" si="1"/>
        <v>0</v>
      </c>
      <c r="G8" s="5">
        <f t="shared" si="1"/>
        <v>44925.33</v>
      </c>
      <c r="H8" s="5">
        <f t="shared" si="1"/>
        <v>279792.99</v>
      </c>
      <c r="I8" s="5">
        <f t="shared" si="1"/>
        <v>71319.789999999994</v>
      </c>
      <c r="J8" s="5">
        <f t="shared" si="1"/>
        <v>101076.09</v>
      </c>
      <c r="K8" s="5">
        <f t="shared" si="1"/>
        <v>0</v>
      </c>
      <c r="L8" s="5">
        <f t="shared" si="1"/>
        <v>0</v>
      </c>
      <c r="M8" s="15">
        <f t="shared" si="1"/>
        <v>604202.59</v>
      </c>
      <c r="N8" s="15">
        <f t="shared" si="1"/>
        <v>172128.41</v>
      </c>
      <c r="O8" s="5">
        <f t="shared" si="1"/>
        <v>132720.29999999999</v>
      </c>
      <c r="P8" s="5">
        <f t="shared" si="1"/>
        <v>138094.38999999998</v>
      </c>
      <c r="Q8" s="5">
        <f t="shared" si="1"/>
        <v>0</v>
      </c>
    </row>
    <row r="9" spans="1:18" x14ac:dyDescent="0.3">
      <c r="A9" t="s">
        <v>19</v>
      </c>
      <c r="B9" s="6">
        <f t="shared" si="0"/>
        <v>2559426.4700000002</v>
      </c>
      <c r="C9" s="6">
        <f>286152.96+827309.17</f>
        <v>1113462.1300000001</v>
      </c>
      <c r="D9" s="6"/>
      <c r="E9" s="6">
        <v>44563.68</v>
      </c>
      <c r="F9" s="6"/>
      <c r="G9" s="6">
        <v>44925.33</v>
      </c>
      <c r="H9" s="6">
        <v>197896.95999999999</v>
      </c>
      <c r="I9" s="6">
        <v>50604.799999999996</v>
      </c>
      <c r="J9" s="6">
        <v>88913.73</v>
      </c>
      <c r="K9" s="6"/>
      <c r="L9" s="6"/>
      <c r="M9" s="6">
        <v>604202.59</v>
      </c>
      <c r="N9" s="6">
        <v>144042.56</v>
      </c>
      <c r="O9" s="6">
        <v>132720.29999999999</v>
      </c>
      <c r="P9" s="6">
        <v>138094.38999999998</v>
      </c>
      <c r="Q9" s="6"/>
    </row>
    <row r="10" spans="1:18" x14ac:dyDescent="0.3">
      <c r="A10" t="s">
        <v>20</v>
      </c>
      <c r="B10" s="6">
        <f t="shared" si="0"/>
        <v>142859.23000000001</v>
      </c>
      <c r="C10" s="6"/>
      <c r="D10" s="11"/>
      <c r="E10" s="9"/>
      <c r="F10" s="6"/>
      <c r="G10" s="11"/>
      <c r="H10" s="6">
        <v>81896.03</v>
      </c>
      <c r="I10" s="6">
        <v>20714.990000000002</v>
      </c>
      <c r="J10" s="6">
        <v>12162.36</v>
      </c>
      <c r="K10" s="6"/>
      <c r="L10" s="6"/>
      <c r="M10" s="11"/>
      <c r="N10" s="6">
        <v>28085.85</v>
      </c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si="0"/>
        <v>344677.86000000004</v>
      </c>
      <c r="C11" s="5">
        <f t="shared" ref="C11:Q11" si="2">SUM(C12:C15)</f>
        <v>237255.42</v>
      </c>
      <c r="D11" s="15">
        <f t="shared" si="2"/>
        <v>0</v>
      </c>
      <c r="E11" s="15">
        <f t="shared" si="2"/>
        <v>2555.8900000000003</v>
      </c>
      <c r="F11" s="5">
        <f t="shared" si="2"/>
        <v>0</v>
      </c>
      <c r="G11" s="15">
        <f t="shared" si="2"/>
        <v>1538.42</v>
      </c>
      <c r="H11" s="5">
        <f t="shared" si="2"/>
        <v>6055.6100000000006</v>
      </c>
      <c r="I11" s="5">
        <f t="shared" si="2"/>
        <v>2624.79</v>
      </c>
      <c r="J11" s="5">
        <f t="shared" si="2"/>
        <v>3347.89</v>
      </c>
      <c r="K11" s="5">
        <f t="shared" si="2"/>
        <v>0</v>
      </c>
      <c r="L11" s="5">
        <f t="shared" si="2"/>
        <v>0</v>
      </c>
      <c r="M11" s="15">
        <f t="shared" si="2"/>
        <v>74581.200000000012</v>
      </c>
      <c r="N11" s="5">
        <f t="shared" si="2"/>
        <v>8195.49</v>
      </c>
      <c r="O11" s="5">
        <f t="shared" si="2"/>
        <v>4025.4300000000003</v>
      </c>
      <c r="P11" s="5">
        <f t="shared" si="2"/>
        <v>4497.7199999999993</v>
      </c>
      <c r="Q11" s="5">
        <f t="shared" si="2"/>
        <v>0</v>
      </c>
    </row>
    <row r="12" spans="1:18" x14ac:dyDescent="0.3">
      <c r="A12" t="s">
        <v>22</v>
      </c>
      <c r="B12" s="6">
        <f t="shared" si="0"/>
        <v>257390.05</v>
      </c>
      <c r="C12" s="6">
        <f>150653.59+30989.12</f>
        <v>181642.71</v>
      </c>
      <c r="D12" s="11"/>
      <c r="E12" s="11">
        <v>1656.69</v>
      </c>
      <c r="F12" s="6"/>
      <c r="G12" s="11">
        <v>475</v>
      </c>
      <c r="H12" s="6"/>
      <c r="I12" s="6">
        <v>1842.8899999999999</v>
      </c>
      <c r="J12" s="6">
        <v>977</v>
      </c>
      <c r="K12" s="6"/>
      <c r="L12" s="6"/>
      <c r="M12" s="11">
        <v>67143.88</v>
      </c>
      <c r="N12" s="6">
        <v>2450.87</v>
      </c>
      <c r="O12" s="6">
        <f>606+569.61</f>
        <v>1175.6100000000001</v>
      </c>
      <c r="P12" s="6">
        <v>25.4</v>
      </c>
      <c r="Q12" s="6"/>
    </row>
    <row r="13" spans="1:18" x14ac:dyDescent="0.3">
      <c r="A13" t="s">
        <v>23</v>
      </c>
      <c r="B13" s="6">
        <f t="shared" si="0"/>
        <v>54980.9</v>
      </c>
      <c r="C13" s="6">
        <f>6204.07+28596.98</f>
        <v>34801.050000000003</v>
      </c>
      <c r="D13" s="11"/>
      <c r="E13" s="11"/>
      <c r="F13" s="6"/>
      <c r="G13" s="11">
        <v>603.05999999999995</v>
      </c>
      <c r="H13" s="6">
        <v>2487.44</v>
      </c>
      <c r="I13" s="6">
        <v>781.9</v>
      </c>
      <c r="J13" s="6">
        <v>2365.4499999999998</v>
      </c>
      <c r="K13" s="6"/>
      <c r="L13" s="6"/>
      <c r="M13" s="11">
        <v>6775.16</v>
      </c>
      <c r="N13" s="6">
        <v>1145.58</v>
      </c>
      <c r="O13" s="6">
        <v>1548.94</v>
      </c>
      <c r="P13" s="6">
        <v>4472.32</v>
      </c>
      <c r="Q13" s="6"/>
    </row>
    <row r="14" spans="1:18" x14ac:dyDescent="0.3">
      <c r="A14" t="s">
        <v>24</v>
      </c>
      <c r="B14" s="6">
        <f t="shared" si="0"/>
        <v>17206.239999999998</v>
      </c>
      <c r="C14" s="6">
        <f>15223.74+1297.5</f>
        <v>16521.239999999998</v>
      </c>
      <c r="D14" s="11"/>
      <c r="E14" s="11"/>
      <c r="F14" s="6"/>
      <c r="G14" s="11"/>
      <c r="H14" s="6"/>
      <c r="I14" s="6"/>
      <c r="J14" s="6"/>
      <c r="K14" s="6"/>
      <c r="L14" s="6"/>
      <c r="M14" s="11">
        <v>95</v>
      </c>
      <c r="N14" s="6">
        <v>235</v>
      </c>
      <c r="O14" s="6">
        <v>355</v>
      </c>
      <c r="P14" s="6"/>
      <c r="Q14" s="6"/>
    </row>
    <row r="15" spans="1:18" x14ac:dyDescent="0.3">
      <c r="A15" t="s">
        <v>25</v>
      </c>
      <c r="B15" s="6">
        <f t="shared" si="0"/>
        <v>15100.67</v>
      </c>
      <c r="C15" s="6">
        <f>1464.36+2826.06</f>
        <v>4290.42</v>
      </c>
      <c r="D15" s="11"/>
      <c r="E15" s="11">
        <v>899.2</v>
      </c>
      <c r="F15" s="6"/>
      <c r="G15" s="11">
        <v>460.36</v>
      </c>
      <c r="H15" s="6">
        <v>3568.17</v>
      </c>
      <c r="I15" s="6"/>
      <c r="J15" s="6">
        <v>5.44</v>
      </c>
      <c r="K15" s="6"/>
      <c r="L15" s="6"/>
      <c r="M15" s="11">
        <v>567.16000000000008</v>
      </c>
      <c r="N15" s="6">
        <v>4364.04</v>
      </c>
      <c r="O15" s="6">
        <v>945.88</v>
      </c>
      <c r="P15" s="6"/>
      <c r="Q15" s="6"/>
    </row>
    <row r="16" spans="1:18" s="1" customFormat="1" ht="18.899999999999999" customHeight="1" x14ac:dyDescent="0.3">
      <c r="A16" s="1" t="s">
        <v>26</v>
      </c>
      <c r="B16" s="5">
        <f t="shared" si="0"/>
        <v>8729.06</v>
      </c>
      <c r="C16" s="5">
        <f>3927.79+858.3</f>
        <v>4786.09</v>
      </c>
      <c r="D16" s="15"/>
      <c r="E16" s="15"/>
      <c r="F16" s="5"/>
      <c r="G16" s="15">
        <v>37.44</v>
      </c>
      <c r="H16" s="5">
        <v>2275.0299999999997</v>
      </c>
      <c r="I16" s="5"/>
      <c r="J16" s="5">
        <v>108.35</v>
      </c>
      <c r="K16" s="5"/>
      <c r="L16" s="5"/>
      <c r="M16" s="15">
        <v>134.71</v>
      </c>
      <c r="N16" s="5"/>
      <c r="O16" s="5">
        <v>1387.44</v>
      </c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0"/>
        <v>55178.399999999994</v>
      </c>
      <c r="C17" s="5">
        <f>13838+27831.37</f>
        <v>41669.369999999995</v>
      </c>
      <c r="D17" s="15"/>
      <c r="E17" s="15">
        <v>110.78</v>
      </c>
      <c r="F17" s="5"/>
      <c r="G17" s="15">
        <v>3152.63</v>
      </c>
      <c r="H17" s="5">
        <v>38.51</v>
      </c>
      <c r="I17" s="5"/>
      <c r="J17" s="5">
        <v>301.27999999999997</v>
      </c>
      <c r="K17" s="5"/>
      <c r="L17" s="5"/>
      <c r="M17" s="15">
        <v>8848.9599999999991</v>
      </c>
      <c r="N17" s="5">
        <v>1056.8699999999999</v>
      </c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0"/>
        <v>6315.7400000000007</v>
      </c>
      <c r="C18" s="5">
        <f>4141.5+0.84</f>
        <v>4142.34</v>
      </c>
      <c r="D18" s="15"/>
      <c r="E18" s="15"/>
      <c r="F18" s="5"/>
      <c r="G18" s="15">
        <v>218.81</v>
      </c>
      <c r="H18" s="5">
        <v>250</v>
      </c>
      <c r="I18" s="5"/>
      <c r="J18" s="5">
        <v>1493.5</v>
      </c>
      <c r="K18" s="5"/>
      <c r="L18" s="5"/>
      <c r="M18" s="15">
        <v>130.12</v>
      </c>
      <c r="N18" s="5">
        <v>80.97</v>
      </c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0"/>
        <v>1501.8</v>
      </c>
      <c r="C19" s="5">
        <f t="shared" ref="C19:Q19" si="3">SUM(C20:C22)</f>
        <v>0</v>
      </c>
      <c r="D19" s="15">
        <f t="shared" si="3"/>
        <v>0</v>
      </c>
      <c r="E19" s="15">
        <f t="shared" si="3"/>
        <v>0</v>
      </c>
      <c r="F19" s="5">
        <f t="shared" si="3"/>
        <v>0</v>
      </c>
      <c r="G19" s="15">
        <f t="shared" si="3"/>
        <v>0</v>
      </c>
      <c r="H19" s="5">
        <f t="shared" si="3"/>
        <v>139.29</v>
      </c>
      <c r="I19" s="5">
        <f t="shared" si="3"/>
        <v>0</v>
      </c>
      <c r="J19" s="5">
        <f t="shared" si="3"/>
        <v>1362.51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</row>
    <row r="20" spans="1:17" x14ac:dyDescent="0.3">
      <c r="A20" t="s">
        <v>30</v>
      </c>
      <c r="B20" s="6">
        <f t="shared" si="0"/>
        <v>0</v>
      </c>
      <c r="C20" s="6"/>
      <c r="D20" s="11"/>
      <c r="E20" s="11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si="0"/>
        <v>1501.8</v>
      </c>
      <c r="C21" s="6"/>
      <c r="D21" s="11"/>
      <c r="E21" s="11"/>
      <c r="F21" s="6"/>
      <c r="G21" s="6"/>
      <c r="H21" s="6">
        <v>139.29</v>
      </c>
      <c r="I21" s="6"/>
      <c r="J21" s="6">
        <v>1362.51</v>
      </c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0"/>
        <v>0</v>
      </c>
      <c r="C22" s="6"/>
      <c r="D22" s="11"/>
      <c r="E22" s="1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4293.0599999999995</v>
      </c>
      <c r="C23" s="5">
        <v>3787.2</v>
      </c>
      <c r="D23" s="11"/>
      <c r="E23" s="11"/>
      <c r="F23" s="6"/>
      <c r="G23" s="6"/>
      <c r="H23" s="6">
        <v>505.86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3114395.5</v>
      </c>
      <c r="C24" s="5">
        <f>C8+C11+C16+C17+C18+C19-C23</f>
        <v>1397528.1500000004</v>
      </c>
      <c r="D24" s="5">
        <f t="shared" ref="D24:Q24" si="4">D8+D11+D16+D17+D18+D19-D23</f>
        <v>0</v>
      </c>
      <c r="E24" s="5">
        <f t="shared" si="4"/>
        <v>47230.35</v>
      </c>
      <c r="F24" s="5">
        <f t="shared" si="4"/>
        <v>0</v>
      </c>
      <c r="G24" s="5">
        <f t="shared" si="4"/>
        <v>49872.63</v>
      </c>
      <c r="H24" s="5">
        <f t="shared" si="4"/>
        <v>288045.57</v>
      </c>
      <c r="I24" s="5">
        <f t="shared" si="4"/>
        <v>73944.579999999987</v>
      </c>
      <c r="J24" s="5">
        <f t="shared" si="4"/>
        <v>107689.62</v>
      </c>
      <c r="K24" s="5">
        <f t="shared" si="4"/>
        <v>0</v>
      </c>
      <c r="L24" s="5">
        <f t="shared" si="4"/>
        <v>0</v>
      </c>
      <c r="M24" s="5">
        <f t="shared" si="4"/>
        <v>687897.58</v>
      </c>
      <c r="N24" s="5">
        <f t="shared" si="4"/>
        <v>181461.74</v>
      </c>
      <c r="O24" s="5">
        <f t="shared" si="4"/>
        <v>138133.16999999998</v>
      </c>
      <c r="P24" s="5">
        <f t="shared" si="4"/>
        <v>142592.10999999999</v>
      </c>
      <c r="Q24" s="5">
        <f t="shared" si="4"/>
        <v>0</v>
      </c>
    </row>
    <row r="25" spans="1:17" x14ac:dyDescent="0.3">
      <c r="A25" s="1"/>
      <c r="C25" s="8"/>
      <c r="I25" s="10"/>
    </row>
    <row r="26" spans="1:17" x14ac:dyDescent="0.3">
      <c r="E26" s="6"/>
    </row>
    <row r="27" spans="1:17" x14ac:dyDescent="0.3">
      <c r="A27" s="1" t="s">
        <v>35</v>
      </c>
      <c r="B27" s="6">
        <v>115448.13</v>
      </c>
      <c r="E27" s="6"/>
    </row>
    <row r="28" spans="1:17" x14ac:dyDescent="0.3">
      <c r="A28" s="1" t="s">
        <v>36</v>
      </c>
      <c r="B28" s="6">
        <v>345570.85</v>
      </c>
      <c r="F28" s="6"/>
    </row>
    <row r="29" spans="1:17" x14ac:dyDescent="0.3">
      <c r="A29" s="1" t="s">
        <v>37</v>
      </c>
      <c r="B29" s="6">
        <v>499585.44999999995</v>
      </c>
      <c r="G29" s="6"/>
      <c r="I29" s="9"/>
    </row>
    <row r="30" spans="1:17" x14ac:dyDescent="0.3">
      <c r="A30" s="1" t="s">
        <v>38</v>
      </c>
      <c r="B30" s="6">
        <v>497123.92000000004</v>
      </c>
    </row>
    <row r="31" spans="1:17" x14ac:dyDescent="0.3">
      <c r="A31" s="1" t="s">
        <v>69</v>
      </c>
      <c r="B31" s="6">
        <v>736388.2</v>
      </c>
    </row>
    <row r="32" spans="1:17" x14ac:dyDescent="0.3">
      <c r="A32" s="1" t="s">
        <v>84</v>
      </c>
      <c r="B32" s="6">
        <v>470209.82</v>
      </c>
    </row>
    <row r="33" spans="1:2" x14ac:dyDescent="0.3">
      <c r="A33" s="1" t="s">
        <v>85</v>
      </c>
      <c r="B33" s="6">
        <v>450069.13</v>
      </c>
    </row>
    <row r="34" spans="1:2" x14ac:dyDescent="0.3">
      <c r="A34" s="1"/>
      <c r="B34" s="6"/>
    </row>
    <row r="35" spans="1:2" x14ac:dyDescent="0.3">
      <c r="A35" s="1" t="s">
        <v>39</v>
      </c>
      <c r="B35" s="6">
        <f>SUM(B27:B34)</f>
        <v>3114395.4999999995</v>
      </c>
    </row>
  </sheetData>
  <sortState xmlns:xlrd2="http://schemas.microsoft.com/office/spreadsheetml/2017/richdata2" ref="D6:Q7">
    <sortCondition ref="D7"/>
  </sortState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2"/>
  <sheetViews>
    <sheetView zoomScale="70" zoomScaleNormal="70" workbookViewId="0">
      <pane xSplit="1" topLeftCell="B1" activePane="topRight" state="frozen"/>
      <selection pane="topRight" activeCell="D33" sqref="D33"/>
    </sheetView>
  </sheetViews>
  <sheetFormatPr defaultRowHeight="14.4" x14ac:dyDescent="0.3"/>
  <cols>
    <col min="1" max="1" width="27.6640625" customWidth="1"/>
    <col min="2" max="2" width="13.33203125" customWidth="1"/>
    <col min="3" max="17" width="13.554687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59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60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440531.09999999992</v>
      </c>
      <c r="C8" s="5">
        <f>SUM(C9:C10)</f>
        <v>322976.21999999997</v>
      </c>
      <c r="D8" s="5">
        <f t="shared" ref="D8:Q8" si="0">SUM(D9:D10)</f>
        <v>0</v>
      </c>
      <c r="E8" s="5">
        <f t="shared" si="0"/>
        <v>0</v>
      </c>
      <c r="F8" s="5">
        <f t="shared" si="0"/>
        <v>16532.73</v>
      </c>
      <c r="G8" s="5">
        <f t="shared" si="0"/>
        <v>0</v>
      </c>
      <c r="H8" s="5">
        <f t="shared" si="0"/>
        <v>62018.05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26118.35</v>
      </c>
      <c r="O8" s="5">
        <f t="shared" si="0"/>
        <v>0</v>
      </c>
      <c r="P8" s="5">
        <f t="shared" si="0"/>
        <v>12885.75</v>
      </c>
      <c r="Q8" s="5">
        <f t="shared" si="0"/>
        <v>0</v>
      </c>
    </row>
    <row r="9" spans="1:18" x14ac:dyDescent="0.3">
      <c r="A9" t="s">
        <v>19</v>
      </c>
      <c r="B9" s="6">
        <f>SUM(C9:Q9)</f>
        <v>408590.67999999993</v>
      </c>
      <c r="C9" s="6">
        <f>109446.18+213530.04</f>
        <v>322976.21999999997</v>
      </c>
      <c r="D9" s="6"/>
      <c r="E9" s="6"/>
      <c r="F9" s="6">
        <v>16532.73</v>
      </c>
      <c r="G9" s="6"/>
      <c r="H9" s="6">
        <v>30077.63</v>
      </c>
      <c r="I9" s="6"/>
      <c r="J9" s="6"/>
      <c r="K9" s="6"/>
      <c r="L9" s="6"/>
      <c r="M9" s="6"/>
      <c r="N9" s="6">
        <v>26118.35</v>
      </c>
      <c r="O9" s="6"/>
      <c r="P9" s="6">
        <v>12885.75</v>
      </c>
      <c r="Q9" s="6"/>
    </row>
    <row r="10" spans="1:18" x14ac:dyDescent="0.3">
      <c r="A10" t="s">
        <v>20</v>
      </c>
      <c r="B10" s="6">
        <f>SUM(C10:Q10)</f>
        <v>31940.42</v>
      </c>
      <c r="C10" s="6"/>
      <c r="D10" s="6"/>
      <c r="E10" s="6"/>
      <c r="F10" s="6"/>
      <c r="G10" s="6"/>
      <c r="H10" s="6">
        <v>31940.42</v>
      </c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19683.93</v>
      </c>
      <c r="C11" s="5">
        <f>SUM(C12:C15)</f>
        <v>16155.640000000001</v>
      </c>
      <c r="D11" s="5">
        <f t="shared" ref="D11:Q11" si="2">SUM(D12:D15)</f>
        <v>0</v>
      </c>
      <c r="E11" s="5">
        <f t="shared" si="2"/>
        <v>0</v>
      </c>
      <c r="F11" s="5">
        <f t="shared" si="2"/>
        <v>839.58</v>
      </c>
      <c r="G11" s="5">
        <f t="shared" si="2"/>
        <v>0</v>
      </c>
      <c r="H11" s="5">
        <f>SUM(H12:H15)</f>
        <v>1907.88</v>
      </c>
      <c r="I11" s="5">
        <f t="shared" si="2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0</v>
      </c>
      <c r="N11" s="5">
        <f t="shared" si="2"/>
        <v>524.53</v>
      </c>
      <c r="O11" s="5">
        <f t="shared" si="2"/>
        <v>0</v>
      </c>
      <c r="P11" s="5">
        <f t="shared" si="2"/>
        <v>256.3</v>
      </c>
      <c r="Q11" s="5">
        <f t="shared" si="2"/>
        <v>0</v>
      </c>
    </row>
    <row r="12" spans="1:18" x14ac:dyDescent="0.3">
      <c r="A12" t="s">
        <v>22</v>
      </c>
      <c r="B12" s="6">
        <f>SUM(C12:Q12)</f>
        <v>6768.7699999999995</v>
      </c>
      <c r="C12" s="6">
        <f>6027.03+471.74</f>
        <v>6498.7699999999995</v>
      </c>
      <c r="D12" s="6"/>
      <c r="E12" s="6"/>
      <c r="F12" s="6">
        <v>270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10148.289999999999</v>
      </c>
      <c r="C13" s="6">
        <f>5524.8+2864.36</f>
        <v>8389.16</v>
      </c>
      <c r="D13" s="6"/>
      <c r="E13" s="6"/>
      <c r="F13" s="6">
        <v>569.58000000000004</v>
      </c>
      <c r="G13" s="6"/>
      <c r="H13" s="6">
        <v>470.37</v>
      </c>
      <c r="I13" s="6"/>
      <c r="J13" s="6"/>
      <c r="K13" s="6"/>
      <c r="L13" s="6"/>
      <c r="M13" s="6"/>
      <c r="N13" s="6">
        <v>462.88</v>
      </c>
      <c r="O13" s="6"/>
      <c r="P13" s="6">
        <v>256.3</v>
      </c>
      <c r="Q13" s="6"/>
    </row>
    <row r="14" spans="1:18" x14ac:dyDescent="0.3">
      <c r="A14" t="s">
        <v>24</v>
      </c>
      <c r="B14" s="6">
        <f t="shared" si="3"/>
        <v>1313.03</v>
      </c>
      <c r="C14" s="6">
        <f>160+993.03</f>
        <v>1153.03</v>
      </c>
      <c r="D14" s="6"/>
      <c r="E14" s="6"/>
      <c r="F14" s="6"/>
      <c r="G14" s="6"/>
      <c r="H14" s="6">
        <v>160</v>
      </c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1453.8400000000001</v>
      </c>
      <c r="C15" s="6">
        <v>114.68</v>
      </c>
      <c r="D15" s="6"/>
      <c r="E15" s="6"/>
      <c r="F15" s="6"/>
      <c r="G15" s="6"/>
      <c r="H15" s="6">
        <v>1277.51</v>
      </c>
      <c r="I15" s="6"/>
      <c r="J15" s="6"/>
      <c r="K15" s="6"/>
      <c r="L15" s="6"/>
      <c r="M15" s="6"/>
      <c r="N15" s="6">
        <v>61.65</v>
      </c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302.76</v>
      </c>
      <c r="C16" s="5">
        <f>28.98+273.78</f>
        <v>302.76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15958.95</v>
      </c>
      <c r="C17" s="5">
        <f>5361.72+10597.23</f>
        <v>15958.95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163.81</v>
      </c>
      <c r="C18" s="5">
        <v>163.81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104.17</v>
      </c>
      <c r="C23" s="6"/>
      <c r="D23" s="6"/>
      <c r="E23" s="6"/>
      <c r="F23" s="6"/>
      <c r="G23" s="6"/>
      <c r="H23" s="6">
        <v>104.17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476536.37999999995</v>
      </c>
      <c r="C24" s="5">
        <f>C8+C11+C16+C17+C18+C19-C23</f>
        <v>355557.38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17372.310000000001</v>
      </c>
      <c r="G24" s="5">
        <f t="shared" si="6"/>
        <v>0</v>
      </c>
      <c r="H24" s="5">
        <f t="shared" si="6"/>
        <v>63821.760000000002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0</v>
      </c>
      <c r="N24" s="5">
        <f t="shared" si="6"/>
        <v>26642.879999999997</v>
      </c>
      <c r="O24" s="5">
        <f t="shared" si="6"/>
        <v>0</v>
      </c>
      <c r="P24" s="5">
        <f t="shared" si="6"/>
        <v>13142.05</v>
      </c>
      <c r="Q24" s="5">
        <f t="shared" si="6"/>
        <v>0</v>
      </c>
    </row>
    <row r="26" spans="1:17" x14ac:dyDescent="0.3">
      <c r="B26" s="3"/>
    </row>
    <row r="27" spans="1:17" x14ac:dyDescent="0.3">
      <c r="A27" s="1" t="s">
        <v>38</v>
      </c>
      <c r="B27" s="6">
        <v>105360.09999999999</v>
      </c>
    </row>
    <row r="28" spans="1:17" x14ac:dyDescent="0.3">
      <c r="A28" s="1" t="s">
        <v>69</v>
      </c>
      <c r="B28" s="6">
        <v>142061.42000000001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1" t="s">
        <v>84</v>
      </c>
      <c r="B29" s="6">
        <v>116627.33</v>
      </c>
    </row>
    <row r="30" spans="1:17" x14ac:dyDescent="0.3">
      <c r="A30" s="1" t="s">
        <v>85</v>
      </c>
      <c r="B30" s="6">
        <v>112487.53</v>
      </c>
    </row>
    <row r="31" spans="1:17" x14ac:dyDescent="0.3">
      <c r="A31" s="1"/>
      <c r="B31" s="3"/>
    </row>
    <row r="32" spans="1:17" x14ac:dyDescent="0.3">
      <c r="A32" s="1" t="s">
        <v>39</v>
      </c>
      <c r="B32" s="6">
        <f>SUM(B27:B31)</f>
        <v>476536.38</v>
      </c>
    </row>
  </sheetData>
  <pageMargins left="0.7" right="0.7" top="0.75" bottom="0.75" header="0.3" footer="0.3"/>
  <pageSetup paperSize="9" scale="5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2"/>
  <sheetViews>
    <sheetView zoomScale="70" zoomScaleNormal="70" workbookViewId="0">
      <pane xSplit="1" topLeftCell="B1" activePane="topRight" state="frozen"/>
      <selection pane="topRight" activeCell="A29" sqref="A29:XFD30"/>
    </sheetView>
  </sheetViews>
  <sheetFormatPr defaultRowHeight="14.4" x14ac:dyDescent="0.3"/>
  <cols>
    <col min="1" max="1" width="29.6640625" customWidth="1"/>
    <col min="2" max="2" width="12.88671875" customWidth="1"/>
    <col min="3" max="17" width="13.554687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61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62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131637.66</v>
      </c>
      <c r="C8" s="5">
        <f>SUM(C9:C10)</f>
        <v>62361.399999999994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69276.260000000009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</row>
    <row r="9" spans="1:18" x14ac:dyDescent="0.3">
      <c r="A9" t="s">
        <v>19</v>
      </c>
      <c r="B9" s="6">
        <f>SUM(C9:Q9)</f>
        <v>131637.66</v>
      </c>
      <c r="C9" s="6">
        <f>22976.98+39384.42</f>
        <v>62361.399999999994</v>
      </c>
      <c r="D9" s="6"/>
      <c r="E9" s="6"/>
      <c r="F9" s="6"/>
      <c r="G9" s="6"/>
      <c r="H9" s="6"/>
      <c r="I9" s="6"/>
      <c r="J9" s="6"/>
      <c r="K9" s="6"/>
      <c r="L9" s="6"/>
      <c r="M9" s="6">
        <v>69276.260000000009</v>
      </c>
      <c r="N9" s="6"/>
      <c r="O9" s="6"/>
      <c r="P9" s="6"/>
      <c r="Q9" s="6"/>
    </row>
    <row r="10" spans="1:18" x14ac:dyDescent="0.3">
      <c r="A10" t="s">
        <v>20</v>
      </c>
      <c r="B10" s="6">
        <f>SUM(C10:Q10)</f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3949.1200000000003</v>
      </c>
      <c r="C11" s="5">
        <f>SUM(C12:C15)</f>
        <v>3881.36</v>
      </c>
      <c r="D11" s="5">
        <f t="shared" ref="D11:Q11" si="2">SUM(D12:D15)</f>
        <v>0</v>
      </c>
      <c r="E11" s="5">
        <f t="shared" si="2"/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67.760000000000005</v>
      </c>
      <c r="N11" s="5">
        <f t="shared" si="2"/>
        <v>0</v>
      </c>
      <c r="O11" s="5">
        <f t="shared" si="2"/>
        <v>0</v>
      </c>
      <c r="P11" s="5">
        <f t="shared" si="2"/>
        <v>0</v>
      </c>
      <c r="Q11" s="5">
        <f t="shared" si="2"/>
        <v>0</v>
      </c>
    </row>
    <row r="12" spans="1:18" x14ac:dyDescent="0.3">
      <c r="A12" t="s">
        <v>22</v>
      </c>
      <c r="B12" s="6">
        <f>SUM(C12:Q12)</f>
        <v>2008.07</v>
      </c>
      <c r="C12" s="6">
        <v>2008.07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604.33000000000004</v>
      </c>
      <c r="C13" s="6">
        <v>604.33000000000004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8" x14ac:dyDescent="0.3">
      <c r="A14" t="s">
        <v>24</v>
      </c>
      <c r="B14" s="6">
        <f t="shared" si="3"/>
        <v>1102.5</v>
      </c>
      <c r="C14" s="6">
        <v>1102.5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234.22000000000003</v>
      </c>
      <c r="C15" s="6">
        <v>166.46</v>
      </c>
      <c r="D15" s="6"/>
      <c r="E15" s="6"/>
      <c r="F15" s="6"/>
      <c r="G15" s="6"/>
      <c r="H15" s="6"/>
      <c r="I15" s="6"/>
      <c r="J15" s="6"/>
      <c r="K15" s="6"/>
      <c r="L15" s="6"/>
      <c r="M15" s="6">
        <v>67.760000000000005</v>
      </c>
      <c r="N15" s="6"/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1142.73</v>
      </c>
      <c r="C16" s="5">
        <v>1142.73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2023.48</v>
      </c>
      <c r="C17" s="5">
        <v>94.16</v>
      </c>
      <c r="D17" s="5"/>
      <c r="E17" s="5"/>
      <c r="F17" s="5"/>
      <c r="G17" s="5"/>
      <c r="H17" s="5"/>
      <c r="I17" s="5"/>
      <c r="J17" s="5"/>
      <c r="K17" s="5"/>
      <c r="L17" s="5"/>
      <c r="M17" s="5">
        <v>1929.32</v>
      </c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50.5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50.5</v>
      </c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138803.49000000002</v>
      </c>
      <c r="C24" s="5">
        <f>C8+C11+C16+C17+C18+C19-C23</f>
        <v>67479.649999999994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0</v>
      </c>
      <c r="G24" s="5">
        <f t="shared" si="6"/>
        <v>0</v>
      </c>
      <c r="H24" s="5">
        <f t="shared" si="6"/>
        <v>0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71323.840000000011</v>
      </c>
      <c r="N24" s="5">
        <f t="shared" si="6"/>
        <v>0</v>
      </c>
      <c r="O24" s="5">
        <f t="shared" si="6"/>
        <v>0</v>
      </c>
      <c r="P24" s="5">
        <f t="shared" si="6"/>
        <v>0</v>
      </c>
      <c r="Q24" s="5">
        <f t="shared" si="6"/>
        <v>0</v>
      </c>
    </row>
    <row r="27" spans="1:17" x14ac:dyDescent="0.3">
      <c r="A27" s="1" t="s">
        <v>38</v>
      </c>
      <c r="B27" s="6">
        <v>54871.490000000005</v>
      </c>
    </row>
    <row r="28" spans="1:17" x14ac:dyDescent="0.3">
      <c r="A28" s="1" t="s">
        <v>69</v>
      </c>
      <c r="B28" s="6">
        <v>41230.32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1" t="s">
        <v>84</v>
      </c>
      <c r="B29" s="17">
        <v>11594.27</v>
      </c>
    </row>
    <row r="30" spans="1:17" x14ac:dyDescent="0.3">
      <c r="A30" s="1" t="s">
        <v>85</v>
      </c>
      <c r="B30" s="17">
        <v>31107.41</v>
      </c>
    </row>
    <row r="31" spans="1:17" x14ac:dyDescent="0.3">
      <c r="A31" s="1"/>
      <c r="B31" s="6"/>
    </row>
    <row r="32" spans="1:17" x14ac:dyDescent="0.3">
      <c r="A32" s="1" t="s">
        <v>39</v>
      </c>
      <c r="B32" s="6">
        <f>SUM(B27:B31)</f>
        <v>138803.49</v>
      </c>
    </row>
  </sheetData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0"/>
  <sheetViews>
    <sheetView zoomScale="85" zoomScaleNormal="85" workbookViewId="0">
      <selection activeCell="C12" sqref="C12"/>
    </sheetView>
  </sheetViews>
  <sheetFormatPr defaultRowHeight="14.4" x14ac:dyDescent="0.3"/>
  <cols>
    <col min="1" max="1" width="30" customWidth="1"/>
    <col min="2" max="2" width="13.88671875" customWidth="1"/>
    <col min="3" max="4" width="15.109375" customWidth="1"/>
    <col min="5" max="5" width="14" customWidth="1"/>
  </cols>
  <sheetData>
    <row r="1" spans="1:19" x14ac:dyDescent="0.3">
      <c r="A1" t="s">
        <v>0</v>
      </c>
      <c r="B1" s="3"/>
      <c r="C1" s="3"/>
      <c r="D1" s="3"/>
    </row>
    <row r="2" spans="1:19" x14ac:dyDescent="0.3">
      <c r="B2" s="3"/>
      <c r="C2" s="3"/>
      <c r="D2" s="3"/>
    </row>
    <row r="3" spans="1:19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">
      <c r="B4" s="3"/>
      <c r="C4" s="3"/>
      <c r="D4" s="3"/>
    </row>
    <row r="5" spans="1:19" ht="18" x14ac:dyDescent="0.35">
      <c r="A5" s="2" t="s">
        <v>63</v>
      </c>
      <c r="B5" s="3"/>
      <c r="C5" s="3"/>
      <c r="D5" s="3"/>
    </row>
    <row r="6" spans="1:19" ht="18" x14ac:dyDescent="0.35">
      <c r="A6" s="2"/>
      <c r="B6" s="3"/>
      <c r="C6" s="3" t="s">
        <v>64</v>
      </c>
      <c r="D6" s="3" t="s">
        <v>87</v>
      </c>
    </row>
    <row r="7" spans="1:19" x14ac:dyDescent="0.3">
      <c r="A7" s="1"/>
      <c r="B7" s="4" t="s">
        <v>3</v>
      </c>
      <c r="C7" s="4" t="s">
        <v>83</v>
      </c>
      <c r="D7" s="4" t="s">
        <v>83</v>
      </c>
      <c r="E7" s="4" t="s">
        <v>16</v>
      </c>
    </row>
    <row r="8" spans="1:19" x14ac:dyDescent="0.3">
      <c r="A8" s="1" t="s">
        <v>18</v>
      </c>
      <c r="B8" s="5">
        <f>SUM(C8:Q8)</f>
        <v>350350.96</v>
      </c>
      <c r="C8" s="5">
        <f>SUM(C9:C10)</f>
        <v>146141.5</v>
      </c>
      <c r="D8" s="5">
        <f>SUM(D9:D10)</f>
        <v>194693.19</v>
      </c>
      <c r="E8" s="5">
        <f>SUM(E9:E10)</f>
        <v>9516.27</v>
      </c>
    </row>
    <row r="9" spans="1:19" x14ac:dyDescent="0.3">
      <c r="A9" t="s">
        <v>19</v>
      </c>
      <c r="B9" s="6">
        <f>SUM(C9:R9)</f>
        <v>350350.96</v>
      </c>
      <c r="C9" s="6">
        <v>146141.5</v>
      </c>
      <c r="D9" s="6">
        <v>194693.19</v>
      </c>
      <c r="E9" s="6">
        <v>9516.27</v>
      </c>
    </row>
    <row r="10" spans="1:19" x14ac:dyDescent="0.3">
      <c r="A10" t="s">
        <v>20</v>
      </c>
      <c r="B10" s="6">
        <f>SUM(C10:R10)</f>
        <v>0</v>
      </c>
      <c r="C10" s="6"/>
      <c r="D10" s="6"/>
      <c r="E10" s="6"/>
    </row>
    <row r="11" spans="1:19" x14ac:dyDescent="0.3">
      <c r="A11" s="1" t="s">
        <v>21</v>
      </c>
      <c r="B11" s="5">
        <f t="shared" ref="B11:B19" si="0">SUM(C11:Q11)</f>
        <v>1031476.81</v>
      </c>
      <c r="C11" s="5">
        <f>SUM(C12:C15)</f>
        <v>700099.83000000007</v>
      </c>
      <c r="D11" s="5">
        <f>SUM(D12:D15)</f>
        <v>331376.98</v>
      </c>
      <c r="E11" s="5">
        <f>SUM(E12:E15)</f>
        <v>0</v>
      </c>
    </row>
    <row r="12" spans="1:19" x14ac:dyDescent="0.3">
      <c r="A12" t="s">
        <v>22</v>
      </c>
      <c r="B12" s="6">
        <f>SUM(C12:R12)</f>
        <v>960516.34000000008</v>
      </c>
      <c r="C12" s="6">
        <f>388447.72+310687.83</f>
        <v>699135.55</v>
      </c>
      <c r="D12" s="6">
        <v>261380.79</v>
      </c>
      <c r="E12" s="6"/>
    </row>
    <row r="13" spans="1:19" x14ac:dyDescent="0.3">
      <c r="A13" t="s">
        <v>23</v>
      </c>
      <c r="B13" s="6">
        <f t="shared" ref="B13:B18" si="1">SUM(C13:R13)</f>
        <v>3620.16</v>
      </c>
      <c r="C13" s="6">
        <v>964.28</v>
      </c>
      <c r="D13" s="6">
        <v>2655.88</v>
      </c>
      <c r="E13" s="6"/>
    </row>
    <row r="14" spans="1:19" x14ac:dyDescent="0.3">
      <c r="A14" t="s">
        <v>24</v>
      </c>
      <c r="B14" s="6">
        <f t="shared" si="1"/>
        <v>390</v>
      </c>
      <c r="C14" s="6"/>
      <c r="D14" s="6">
        <v>390</v>
      </c>
      <c r="E14" s="6"/>
    </row>
    <row r="15" spans="1:19" x14ac:dyDescent="0.3">
      <c r="A15" t="s">
        <v>25</v>
      </c>
      <c r="B15" s="6">
        <f t="shared" si="1"/>
        <v>66950.31</v>
      </c>
      <c r="C15" s="6"/>
      <c r="D15" s="6">
        <v>66950.31</v>
      </c>
      <c r="E15" s="6"/>
    </row>
    <row r="16" spans="1:19" x14ac:dyDescent="0.3">
      <c r="A16" s="1" t="s">
        <v>26</v>
      </c>
      <c r="B16" s="5">
        <f>SUM(C16:R16)</f>
        <v>477.97</v>
      </c>
      <c r="C16" s="5"/>
      <c r="D16" s="5">
        <v>477.97</v>
      </c>
      <c r="E16" s="5"/>
    </row>
    <row r="17" spans="1:18" x14ac:dyDescent="0.3">
      <c r="A17" s="1" t="s">
        <v>27</v>
      </c>
      <c r="B17" s="5">
        <f t="shared" si="1"/>
        <v>4969.1900000000005</v>
      </c>
      <c r="C17" s="5">
        <v>2250.31</v>
      </c>
      <c r="D17" s="5">
        <v>2718.88</v>
      </c>
      <c r="E17" s="5"/>
    </row>
    <row r="18" spans="1:18" x14ac:dyDescent="0.3">
      <c r="A18" s="1" t="s">
        <v>28</v>
      </c>
      <c r="B18" s="5">
        <f t="shared" si="1"/>
        <v>0</v>
      </c>
      <c r="C18" s="5"/>
      <c r="D18" s="5"/>
      <c r="E18" s="5"/>
    </row>
    <row r="19" spans="1:18" x14ac:dyDescent="0.3">
      <c r="A19" s="1" t="s">
        <v>29</v>
      </c>
      <c r="B19" s="5">
        <f t="shared" si="0"/>
        <v>0</v>
      </c>
      <c r="C19" s="5">
        <f>SUM(C20:C22)</f>
        <v>0</v>
      </c>
      <c r="D19" s="5">
        <f>SUM(D20:D22)</f>
        <v>0</v>
      </c>
      <c r="E19" s="5">
        <f>SUM(E20:E22)</f>
        <v>0</v>
      </c>
    </row>
    <row r="20" spans="1:18" x14ac:dyDescent="0.3">
      <c r="A20" t="s">
        <v>30</v>
      </c>
      <c r="B20" s="6">
        <f>SUM(C20:R20)</f>
        <v>0</v>
      </c>
      <c r="C20" s="6"/>
      <c r="D20" s="6"/>
      <c r="E20" s="6"/>
    </row>
    <row r="21" spans="1:18" x14ac:dyDescent="0.3">
      <c r="A21" t="s">
        <v>31</v>
      </c>
      <c r="B21" s="6">
        <f t="shared" ref="B21:B22" si="2">SUM(C21:R21)</f>
        <v>0</v>
      </c>
      <c r="C21" s="6"/>
      <c r="D21" s="6"/>
      <c r="E21" s="6"/>
    </row>
    <row r="22" spans="1:18" x14ac:dyDescent="0.3">
      <c r="A22" t="s">
        <v>32</v>
      </c>
      <c r="B22" s="6">
        <f t="shared" si="2"/>
        <v>0</v>
      </c>
      <c r="C22" s="6"/>
      <c r="D22" s="6"/>
      <c r="E22" s="6"/>
    </row>
    <row r="23" spans="1:18" x14ac:dyDescent="0.3">
      <c r="A23" s="1" t="s">
        <v>33</v>
      </c>
      <c r="B23" s="5">
        <f>SUM(C23:R23)</f>
        <v>0</v>
      </c>
      <c r="C23" s="6"/>
      <c r="D23" s="6"/>
      <c r="E23" s="6"/>
    </row>
    <row r="24" spans="1:18" x14ac:dyDescent="0.3">
      <c r="A24" s="1" t="s">
        <v>34</v>
      </c>
      <c r="B24" s="5">
        <f>B8+B11+B16+B17+B18+B19-B23</f>
        <v>1387274.93</v>
      </c>
      <c r="C24" s="5">
        <f>C8+C11+C16+C17+C18+C19-C23</f>
        <v>848491.64000000013</v>
      </c>
      <c r="D24" s="5">
        <f>D8+D11+D16+D17+D18+D19-D23</f>
        <v>529267.0199999999</v>
      </c>
      <c r="E24" s="5">
        <f>E8+E11+E16+E17+E18+E19-E23</f>
        <v>9516.27</v>
      </c>
    </row>
    <row r="26" spans="1:18" x14ac:dyDescent="0.3">
      <c r="A26" s="1" t="s">
        <v>69</v>
      </c>
      <c r="B26" s="6">
        <v>397963.99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3">
      <c r="A27" s="1" t="s">
        <v>84</v>
      </c>
      <c r="B27" s="6">
        <v>180316.14</v>
      </c>
    </row>
    <row r="28" spans="1:18" x14ac:dyDescent="0.3">
      <c r="A28" s="1" t="s">
        <v>85</v>
      </c>
      <c r="B28" s="6">
        <v>808994.8</v>
      </c>
    </row>
    <row r="30" spans="1:18" x14ac:dyDescent="0.3">
      <c r="A30" s="1" t="s">
        <v>39</v>
      </c>
      <c r="B30" s="6">
        <f>SUM(B26:B29)</f>
        <v>1387274.9300000002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6">
    <pageSetUpPr fitToPage="1"/>
  </sheetPr>
  <dimension ref="A1:R53"/>
  <sheetViews>
    <sheetView tabSelected="1" zoomScale="85" zoomScaleNormal="85" workbookViewId="0">
      <pane xSplit="1" topLeftCell="B1" activePane="topRight" state="frozen"/>
      <selection activeCell="A4" sqref="A4"/>
      <selection pane="topRight" activeCell="B26" sqref="B26"/>
    </sheetView>
  </sheetViews>
  <sheetFormatPr defaultRowHeight="14.4" x14ac:dyDescent="0.3"/>
  <cols>
    <col min="1" max="1" width="29.44140625" customWidth="1"/>
    <col min="2" max="17" width="13.5546875" style="3" customWidth="1"/>
    <col min="18" max="18" width="13.5546875" style="3" hidden="1" customWidth="1"/>
  </cols>
  <sheetData>
    <row r="1" spans="1:18" x14ac:dyDescent="0.3">
      <c r="A1" t="s">
        <v>0</v>
      </c>
    </row>
    <row r="3" spans="1:18" ht="18" x14ac:dyDescent="0.35">
      <c r="A3" s="2" t="s">
        <v>86</v>
      </c>
    </row>
    <row r="5" spans="1:18" ht="18" x14ac:dyDescent="0.35">
      <c r="A5" s="2" t="s">
        <v>65</v>
      </c>
    </row>
    <row r="6" spans="1:18" ht="13.95" customHeight="1" x14ac:dyDescent="0.35">
      <c r="A6" s="2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51</v>
      </c>
      <c r="P7" s="4" t="s">
        <v>15</v>
      </c>
      <c r="Q7" s="4" t="s">
        <v>16</v>
      </c>
      <c r="R7" s="4" t="s">
        <v>17</v>
      </c>
    </row>
    <row r="8" spans="1:18" s="1" customFormat="1" ht="20.7" customHeight="1" x14ac:dyDescent="0.3">
      <c r="A8" s="1" t="s">
        <v>18</v>
      </c>
      <c r="B8" s="5">
        <f t="shared" ref="B8:B23" si="0">SUM(C8:R8)</f>
        <v>11700279.279999997</v>
      </c>
      <c r="C8" s="5">
        <f>SUM(C9:C10)</f>
        <v>6574719.7999999998</v>
      </c>
      <c r="D8" s="5">
        <f t="shared" ref="D8:O8" si="1">SUM(D9:D10)</f>
        <v>6114.83</v>
      </c>
      <c r="E8" s="5">
        <f t="shared" si="1"/>
        <v>146821.63</v>
      </c>
      <c r="F8" s="5">
        <f t="shared" si="1"/>
        <v>394369.85</v>
      </c>
      <c r="G8" s="5">
        <f t="shared" si="1"/>
        <v>387209.81</v>
      </c>
      <c r="H8" s="5">
        <f t="shared" si="1"/>
        <v>574646.46</v>
      </c>
      <c r="I8" s="5">
        <f t="shared" si="1"/>
        <v>275734.27</v>
      </c>
      <c r="J8" s="5">
        <f t="shared" si="1"/>
        <v>305269.59999999998</v>
      </c>
      <c r="K8" s="5">
        <f t="shared" si="1"/>
        <v>38987.01</v>
      </c>
      <c r="L8" s="5">
        <f t="shared" si="1"/>
        <v>83591.75</v>
      </c>
      <c r="M8" s="5">
        <f t="shared" si="1"/>
        <v>1883184.9199999995</v>
      </c>
      <c r="N8" s="5">
        <f t="shared" si="1"/>
        <v>521207.93999999994</v>
      </c>
      <c r="O8" s="5">
        <f t="shared" si="1"/>
        <v>25096.19</v>
      </c>
      <c r="P8" s="5">
        <f>SUM(P9:P10)</f>
        <v>140996.56</v>
      </c>
      <c r="Q8" s="5">
        <f>SUM(Q9:Q10)</f>
        <v>323787.65999999997</v>
      </c>
      <c r="R8" s="5">
        <f>SUM(R9:R10)</f>
        <v>18541</v>
      </c>
    </row>
    <row r="9" spans="1:18" x14ac:dyDescent="0.3">
      <c r="A9" t="s">
        <v>19</v>
      </c>
      <c r="B9" s="6">
        <f t="shared" si="0"/>
        <v>11159120.659999998</v>
      </c>
      <c r="C9" s="6">
        <f>SUM(LNP!C9+MiPä!C9+MiPä!D9+IKÄ!C9+HOITOT!C9+Kuntoutus!C9+Vammaispalvelut!C9+Hanketoimisto!C9+Innovaatio!C9+Ensihoito!C9+Hyte!C9+'Virt. sote'!C9+'Jonojen purku'!C9+'Jonojen purku'!D9)</f>
        <v>6574319.7999999998</v>
      </c>
      <c r="D9" s="6">
        <f>SUM(LNP!D9+MiPä!E9+IKÄ!D9+HOITOT!D9+Kuntoutus!D9+Vammaispalvelut!D9+Hanketoimisto!D9+Innovaatio!D9+Ensihoito!D9+Hyte!D9+'Virt. sote'!D9)</f>
        <v>6114.83</v>
      </c>
      <c r="E9" s="6">
        <f>SUM(LNP!E9+MiPä!F9+IKÄ!E9+HOITOT!E9+Kuntoutus!E9+Vammaispalvelut!E9+Hanketoimisto!E9+Innovaatio!E9+Ensihoito!E9+Hyte!E9+'Virt. sote'!E9)</f>
        <v>146821.63</v>
      </c>
      <c r="F9" s="6">
        <f>SUM(LNP!F9+MiPä!G9+IKÄ!F9+HOITOT!F9+Kuntoutus!F9+Vammaispalvelut!F9+Hanketoimisto!F9+Innovaatio!F9+Ensihoito!F9+Hyte!F9+'Virt. sote'!F9)</f>
        <v>394369.85</v>
      </c>
      <c r="G9" s="6">
        <f>SUM(LNP!G9+MiPä!H9+IKÄ!G9+HOITOT!G9+Kuntoutus!G9+Vammaispalvelut!G9+Hanketoimisto!G9+Innovaatio!G9+Ensihoito!G9+Hyte!G9+'Virt. sote'!G9)</f>
        <v>387209.81</v>
      </c>
      <c r="H9" s="6">
        <f>SUM(LNP!H9+MiPä!I9+IKÄ!H9+HOITOT!H9+Kuntoutus!H9+Vammaispalvelut!H9+Hanketoimisto!H9+Innovaatio!H9+Ensihoito!H9+Hyte!H9+'Virt. sote'!H9)</f>
        <v>368850.95</v>
      </c>
      <c r="I9" s="6">
        <f>SUM(LNP!I9+MiPä!J9+IKÄ!I9+HOITOT!I9+Kuntoutus!I9+Vammaispalvelut!I9+Hanketoimisto!I9+Innovaatio!I9+Ensihoito!I9+Hyte!I9+'Virt. sote'!I9)</f>
        <v>151479.04999999999</v>
      </c>
      <c r="J9" s="6">
        <f>SUM(LNP!J9+MiPä!K9+IKÄ!J9+HOITOT!J9+Kuntoutus!J9+Vammaispalvelut!J9+Hanketoimisto!J9+Innovaatio!J9+Ensihoito!J9+Hyte!J9+'Virt. sote'!J9)</f>
        <v>223454.41</v>
      </c>
      <c r="K9" s="6">
        <f>SUM(LNP!K9+MiPä!L9+IKÄ!K9+HOITOT!K9+Kuntoutus!K9+Vammaispalvelut!K9+Hanketoimisto!K9+Innovaatio!K9+Ensihoito!K9+Hyte!K9+'Virt. sote'!K9)</f>
        <v>38987.01</v>
      </c>
      <c r="L9" s="6">
        <f>SUM(LNP!L9+MiPä!M9+IKÄ!L9+HOITOT!L9+Kuntoutus!L9+Vammaispalvelut!L9+Hanketoimisto!L9+Innovaatio!L9+Ensihoito!L9+Hyte!L9+'Virt. sote'!L9)</f>
        <v>83591.75</v>
      </c>
      <c r="M9" s="6">
        <f>SUM(LNP!M9+MiPä!N9+IKÄ!M9+HOITOT!M9+Kuntoutus!M9+Vammaispalvelut!M9+Hanketoimisto!M9+Innovaatio!M9+Ensihoito!M9+Hyte!M9+'Virt. sote'!M9)</f>
        <v>1883184.9199999995</v>
      </c>
      <c r="N9" s="6">
        <f>SUM(LNP!N9+MiPä!O9+IKÄ!N9+HOITOT!N9+Kuntoutus!N9+Vammaispalvelut!N9+Hanketoimisto!N9+Innovaatio!N9+Ensihoito!N9+Hyte!N9+'Virt. sote'!N9)</f>
        <v>392315.23999999993</v>
      </c>
      <c r="O9" s="6">
        <f>SUM(Kuntoutus!O9)</f>
        <v>25096.19</v>
      </c>
      <c r="P9" s="6">
        <f>SUM(LNP!O9+MiPä!P9+IKÄ!O9+HOITOT!O9+Kuntoutus!P9+Vammaispalvelut!O9+Hanketoimisto!O9+Innovaatio!O9+Ensihoito!O9+Hyte!O9+'Virt. sote'!O9)</f>
        <v>140996.56</v>
      </c>
      <c r="Q9" s="6">
        <f>SUM(LNP!P9+MiPä!Q9+IKÄ!P9+HOITOT!P9+Kuntoutus!Q9+Vammaispalvelut!P9+Hanketoimisto!P9+Innovaatio!P9+Ensihoito!P9+Hyte!P9+'Virt. sote'!P9+'Jonojen purku'!E9)</f>
        <v>323787.65999999997</v>
      </c>
      <c r="R9" s="6">
        <f>SUM(LNP!Q9+MiPä!R9+IKÄ!Q9+HOITOT!Q9+Kuntoutus!R9+Vammaispalvelut!Q9+Hanketoimisto!Q9+Innovaatio!Q9+Ensihoito!Q9+Hyte!Q9+'Virt. sote'!Q9)</f>
        <v>18541</v>
      </c>
    </row>
    <row r="10" spans="1:18" x14ac:dyDescent="0.3">
      <c r="A10" t="s">
        <v>20</v>
      </c>
      <c r="B10" s="6">
        <f t="shared" si="0"/>
        <v>541158.62</v>
      </c>
      <c r="C10" s="6">
        <f>SUM(LNP!C10+MiPä!C10+IKÄ!C10+HOITOT!C10+Kuntoutus!C10+Vammaispalvelut!C10+Hanketoimisto!C10+Innovaatio!C10+Ensihoito!C10+Hyte!C10+'Virt. sote'!C10+'Jonojen purku'!C10)</f>
        <v>400</v>
      </c>
      <c r="D10" s="6">
        <f>SUM(LNP!D10+MiPä!E10+IKÄ!D10+HOITOT!D10+Kuntoutus!D10+Vammaispalvelut!D10+Hanketoimisto!D10+Innovaatio!D10+Ensihoito!D10+Hyte!D10+'Virt. sote'!D10)</f>
        <v>0</v>
      </c>
      <c r="E10" s="6">
        <f>SUM(LNP!E10+MiPä!F10+IKÄ!E10+HOITOT!E10+Kuntoutus!E10+Vammaispalvelut!E10+Hanketoimisto!E10+Innovaatio!E10+Ensihoito!E10+Hyte!E10+'Virt. sote'!E10)</f>
        <v>0</v>
      </c>
      <c r="F10" s="6">
        <f>SUM(LNP!F10+MiPä!G10+IKÄ!F10+HOITOT!F10+Kuntoutus!F10+Vammaispalvelut!F10+Hanketoimisto!F10+Innovaatio!F10+Ensihoito!F10+Hyte!F10+'Virt. sote'!F10)</f>
        <v>0</v>
      </c>
      <c r="G10" s="6">
        <f>SUM(LNP!G10+MiPä!H10+IKÄ!G10+HOITOT!G10+Kuntoutus!G10+Vammaispalvelut!G10+Hanketoimisto!G10+Innovaatio!G10+Ensihoito!G10+Hyte!G10+'Virt. sote'!G10)</f>
        <v>0</v>
      </c>
      <c r="H10" s="6">
        <f>SUM(LNP!H10+MiPä!I10+IKÄ!H10+HOITOT!H10+Kuntoutus!H10+Vammaispalvelut!H10+Hanketoimisto!H10+Innovaatio!H10+Ensihoito!H10+Hyte!H10+'Virt. sote'!H10)</f>
        <v>205795.51</v>
      </c>
      <c r="I10" s="6">
        <f>SUM(LNP!I10+MiPä!J10+IKÄ!I10+HOITOT!I10+Kuntoutus!I10+Vammaispalvelut!I10+Hanketoimisto!I10+Innovaatio!I10+Ensihoito!I10+Hyte!I10+'Virt. sote'!I10)</f>
        <v>124255.22</v>
      </c>
      <c r="J10" s="6">
        <f>SUM(LNP!J10+MiPä!K10+IKÄ!J10+HOITOT!J10+Kuntoutus!J10+Vammaispalvelut!J10+Hanketoimisto!J10+Innovaatio!J10+Ensihoito!J10+Hyte!J10+'Virt. sote'!J10)</f>
        <v>81815.19</v>
      </c>
      <c r="K10" s="6">
        <f>SUM(LNP!K10+MiPä!L10+IKÄ!K10+HOITOT!K10+Kuntoutus!K10+Vammaispalvelut!K10+Hanketoimisto!K10+Innovaatio!K10+Ensihoito!K10+Hyte!K10+'Virt. sote'!K10)</f>
        <v>0</v>
      </c>
      <c r="L10" s="6">
        <f>SUM(LNP!L10+MiPä!M10+IKÄ!L10+HOITOT!L10+Kuntoutus!L10+Vammaispalvelut!L10+Hanketoimisto!L10+Innovaatio!L10+Ensihoito!L10+Hyte!L10+'Virt. sote'!L10)</f>
        <v>0</v>
      </c>
      <c r="M10" s="6">
        <f>SUM(LNP!M10+MiPä!N10+IKÄ!M10+HOITOT!M10+Kuntoutus!M10+Vammaispalvelut!M10+Hanketoimisto!M10+Innovaatio!M10+Ensihoito!M10+Hyte!M10+'Virt. sote'!M10)</f>
        <v>0</v>
      </c>
      <c r="N10" s="6">
        <f>SUM(LNP!N10+MiPä!O10+IKÄ!N10+HOITOT!N10+Kuntoutus!N10+Vammaispalvelut!N10+Hanketoimisto!N10+Innovaatio!N10+Ensihoito!N10+Hyte!N10+'Virt. sote'!N10)</f>
        <v>128892.7</v>
      </c>
      <c r="O10" s="6">
        <f>SUM(Kuntoutus!O10)</f>
        <v>0</v>
      </c>
      <c r="P10" s="6">
        <f>SUM(LNP!O10+MiPä!P10+IKÄ!O10+HOITOT!O10+Kuntoutus!P10+Vammaispalvelut!O10+Hanketoimisto!O10+Innovaatio!O10+Ensihoito!O10+Hyte!O10+'Virt. sote'!O10)</f>
        <v>0</v>
      </c>
      <c r="Q10" s="6">
        <f>SUM(LNP!P10+MiPä!Q10+IKÄ!P10+HOITOT!P10+Kuntoutus!Q10+Vammaispalvelut!P10+Hanketoimisto!P10+Innovaatio!P10+Ensihoito!P10+Hyte!P10+'Virt. sote'!P10)</f>
        <v>0</v>
      </c>
      <c r="R10" s="6">
        <f>SUM(LNP!Q10+MiPä!R10+IKÄ!Q10+HOITOT!Q10+Kuntoutus!R10+Vammaispalvelut!Q10+Hanketoimisto!Q10+Innovaatio!Q10+Ensihoito!Q10+Hyte!Q10+'Virt. sote'!Q10)</f>
        <v>0</v>
      </c>
    </row>
    <row r="11" spans="1:18" s="1" customFormat="1" ht="20.399999999999999" customHeight="1" x14ac:dyDescent="0.3">
      <c r="A11" s="1" t="s">
        <v>21</v>
      </c>
      <c r="B11" s="5">
        <f t="shared" si="0"/>
        <v>3060959.5199999996</v>
      </c>
      <c r="C11" s="5">
        <f>SUM(C12:C15)</f>
        <v>2807777.5999999996</v>
      </c>
      <c r="D11" s="5">
        <f t="shared" ref="D11:P11" si="2">SUM(D12:D15)</f>
        <v>0</v>
      </c>
      <c r="E11" s="5">
        <f t="shared" si="2"/>
        <v>15059.14</v>
      </c>
      <c r="F11" s="5">
        <f t="shared" si="2"/>
        <v>11637.23</v>
      </c>
      <c r="G11" s="5">
        <f t="shared" si="2"/>
        <v>15647.050000000001</v>
      </c>
      <c r="H11" s="5">
        <f t="shared" si="2"/>
        <v>15155.05</v>
      </c>
      <c r="I11" s="5">
        <f t="shared" si="2"/>
        <v>24034.880000000001</v>
      </c>
      <c r="J11" s="5">
        <f t="shared" si="2"/>
        <v>11463.14</v>
      </c>
      <c r="K11" s="5">
        <f t="shared" si="2"/>
        <v>567.28</v>
      </c>
      <c r="L11" s="5">
        <f t="shared" si="2"/>
        <v>956.24</v>
      </c>
      <c r="M11" s="5">
        <f t="shared" si="2"/>
        <v>109032.50999999998</v>
      </c>
      <c r="N11" s="5">
        <f t="shared" si="2"/>
        <v>20822.14</v>
      </c>
      <c r="O11" s="5">
        <f t="shared" si="2"/>
        <v>1622.56</v>
      </c>
      <c r="P11" s="5">
        <f t="shared" si="2"/>
        <v>14272.18</v>
      </c>
      <c r="Q11" s="5">
        <f t="shared" ref="Q11:R11" si="3">SUM(Q12:Q15)</f>
        <v>12912.519999999997</v>
      </c>
      <c r="R11" s="5">
        <f t="shared" si="3"/>
        <v>0</v>
      </c>
    </row>
    <row r="12" spans="1:18" x14ac:dyDescent="0.3">
      <c r="A12" t="s">
        <v>22</v>
      </c>
      <c r="B12" s="6">
        <f t="shared" si="0"/>
        <v>2076367.6799999997</v>
      </c>
      <c r="C12" s="6">
        <f>SUM(LNP!C12+MiPä!C12+MiPä!D12+IKÄ!C12+HOITOT!C12+Kuntoutus!C12+Vammaispalvelut!C12+Hanketoimisto!C12+Innovaatio!C12+Ensihoito!C12+Hyte!C12+'Virt. sote'!C12+'Jonojen purku'!C12+'Jonojen purku'!D12)</f>
        <v>1954912.53</v>
      </c>
      <c r="D12" s="6">
        <f>SUM(LNP!D12+MiPä!E12+IKÄ!D12+HOITOT!D12+Kuntoutus!D12+Vammaispalvelut!D12+Hanketoimisto!D12+Innovaatio!D12+Ensihoito!D12+Hyte!D12+'Virt. sote'!D12)</f>
        <v>0</v>
      </c>
      <c r="E12" s="6">
        <f>SUM(LNP!E12+MiPä!F12+IKÄ!E12+HOITOT!E12+Kuntoutus!E12+Vammaispalvelut!E12+Hanketoimisto!E12+Innovaatio!E12+Ensihoito!E12+Hyte!E12+'Virt. sote'!E12)</f>
        <v>6998.13</v>
      </c>
      <c r="F12" s="6">
        <f>SUM(LNP!F12+MiPä!G12+IKÄ!F12+HOITOT!F12+Kuntoutus!F12+Vammaispalvelut!F12+Hanketoimisto!F12+Innovaatio!F12+Ensihoito!F12+Hyte!F12+'Virt. sote'!F12)</f>
        <v>2617.7000000000003</v>
      </c>
      <c r="G12" s="6">
        <f>SUM(LNP!G12+MiPä!H12+IKÄ!G12+HOITOT!G12+Kuntoutus!G12+Vammaispalvelut!G12+Hanketoimisto!G12+Innovaatio!G12+Ensihoito!G12+Hyte!G12+'Virt. sote'!G12)</f>
        <v>1900</v>
      </c>
      <c r="H12" s="6">
        <f>SUM(LNP!H12+MiPä!I12+IKÄ!H12+HOITOT!H12+Kuntoutus!H12+Vammaispalvelut!H12+Hanketoimisto!H12+Innovaatio!H12+Ensihoito!H12+Hyte!H12+'Virt. sote'!H12)</f>
        <v>0</v>
      </c>
      <c r="I12" s="6">
        <f>SUM(LNP!I12+MiPä!J12+IKÄ!I12+HOITOT!I12+Kuntoutus!I12+Vammaispalvelut!I12+Hanketoimisto!I12+Innovaatio!I12+Ensihoito!I12+Hyte!I12+'Virt. sote'!I12)</f>
        <v>2047.6599999999999</v>
      </c>
      <c r="J12" s="6">
        <f>SUM(LNP!J12+MiPä!K12+IKÄ!J12+HOITOT!J12+Kuntoutus!J12+Vammaispalvelut!J12+Hanketoimisto!J12+Innovaatio!J12+Ensihoito!J12+Hyte!J12+'Virt. sote'!J12)</f>
        <v>7033.07</v>
      </c>
      <c r="K12" s="6">
        <f>SUM(LNP!K12+MiPä!L12+IKÄ!K12+HOITOT!K12+Kuntoutus!K12+Vammaispalvelut!K12+Hanketoimisto!K12+Innovaatio!K12+Ensihoito!K12+Hyte!K12+'Virt. sote'!K12)</f>
        <v>0</v>
      </c>
      <c r="L12" s="6">
        <f>SUM(LNP!L12+MiPä!M12+IKÄ!L12+HOITOT!L12+Kuntoutus!L12+Vammaispalvelut!L12+Hanketoimisto!L12+Innovaatio!L12+Ensihoito!L12+Hyte!L12+'Virt. sote'!L12)</f>
        <v>700</v>
      </c>
      <c r="M12" s="6">
        <f>SUM(LNP!M12+MiPä!N12+IKÄ!M12+HOITOT!M12+Kuntoutus!M12+Vammaispalvelut!M12+Hanketoimisto!M12+Innovaatio!M12+Ensihoito!M12+Hyte!M12+'Virt. sote'!M12)</f>
        <v>92376.439999999988</v>
      </c>
      <c r="N12" s="6">
        <f>SUM(LNP!N12+MiPä!O12+IKÄ!N12+HOITOT!N12+Kuntoutus!N12+Vammaispalvelut!N12+Hanketoimisto!N12+Innovaatio!N12+Ensihoito!N12+Hyte!N12+'Virt. sote'!N12)</f>
        <v>4916.7500000000009</v>
      </c>
      <c r="O12" s="6">
        <f>SUM(Kuntoutus!O12)</f>
        <v>1304</v>
      </c>
      <c r="P12" s="6">
        <f>SUM(LNP!O12+MiPä!P12+IKÄ!O12+HOITOT!O12+Kuntoutus!P12+Vammaispalvelut!O12+Hanketoimisto!O12+Innovaatio!O12+Ensihoito!O12+Hyte!O12+'Virt. sote'!O12)</f>
        <v>1536</v>
      </c>
      <c r="Q12" s="6">
        <f>SUM(LNP!P12+MiPä!Q12+IKÄ!P12+HOITOT!P12+Kuntoutus!Q12+Vammaispalvelut!P12+Hanketoimisto!P12+Innovaatio!P12+Ensihoito!P12+Hyte!P12+'Virt. sote'!P12)</f>
        <v>25.4</v>
      </c>
      <c r="R12" s="6">
        <f>SUM(LNP!Q12+MiPä!R12+IKÄ!Q12+HOITOT!Q12+Kuntoutus!R12+Vammaispalvelut!Q12+Hanketoimisto!Q12+Innovaatio!Q12+Ensihoito!Q12+Hyte!Q12+'Virt. sote'!Q12)</f>
        <v>0</v>
      </c>
    </row>
    <row r="13" spans="1:18" x14ac:dyDescent="0.3">
      <c r="A13" t="s">
        <v>23</v>
      </c>
      <c r="B13" s="6">
        <f t="shared" si="0"/>
        <v>188139.61</v>
      </c>
      <c r="C13" s="6">
        <f>SUM(LNP!C13+MiPä!C13+MiPä!D13+IKÄ!C13+HOITOT!C13+Kuntoutus!C13+Vammaispalvelut!C13+Hanketoimisto!C13+Innovaatio!C13+Ensihoito!C13+Hyte!C13+'Virt. sote'!C13+'Jonojen purku'!C13+'Jonojen purku'!D13)</f>
        <v>100503.18000000002</v>
      </c>
      <c r="D13" s="6">
        <f>SUM(LNP!D13+MiPä!E13+IKÄ!D13+HOITOT!D13+Kuntoutus!D13+Vammaispalvelut!D13+Hanketoimisto!D13+Innovaatio!D13+Ensihoito!D13+Hyte!D13+'Virt. sote'!D13)</f>
        <v>0</v>
      </c>
      <c r="E13" s="6">
        <f>SUM(LNP!E13+MiPä!F13+IKÄ!E13+HOITOT!E13+Kuntoutus!E13+Vammaispalvelut!E13+Hanketoimisto!E13+Innovaatio!E13+Ensihoito!E13+Hyte!E13+'Virt. sote'!E13)</f>
        <v>3371.76</v>
      </c>
      <c r="F13" s="6">
        <f>SUM(LNP!F13+MiPä!G13+IKÄ!F13+HOITOT!F13+Kuntoutus!F13+Vammaispalvelut!F13+Hanketoimisto!F13+Innovaatio!F13+Ensihoito!F13+Hyte!F13+'Virt. sote'!F13)</f>
        <v>8295.16</v>
      </c>
      <c r="G13" s="6">
        <f>SUM(LNP!G13+MiPä!H13+IKÄ!G13+HOITOT!G13+Kuntoutus!G13+Vammaispalvelut!G13+Hanketoimisto!G13+Innovaatio!G13+Ensihoito!G13+Hyte!G13+'Virt. sote'!G13)</f>
        <v>9069.3700000000008</v>
      </c>
      <c r="H13" s="6">
        <f>SUM(LNP!H13+MiPä!I13+IKÄ!H13+HOITOT!H13+Kuntoutus!H13+Vammaispalvelut!H13+Hanketoimisto!H13+Innovaatio!H13+Ensihoito!H13+Hyte!H13+'Virt. sote'!H13)</f>
        <v>5745.81</v>
      </c>
      <c r="I13" s="6">
        <f>SUM(LNP!I13+MiPä!J13+IKÄ!I13+HOITOT!I13+Kuntoutus!I13+Vammaispalvelut!I13+Hanketoimisto!I13+Innovaatio!I13+Ensihoito!I13+Hyte!I13+'Virt. sote'!I13)</f>
        <v>18503.45</v>
      </c>
      <c r="J13" s="6">
        <f>SUM(LNP!J13+MiPä!K13+IKÄ!J13+HOITOT!J13+Kuntoutus!J13+Vammaispalvelut!J13+Hanketoimisto!J13+Innovaatio!J13+Ensihoito!J13+Hyte!J13+'Virt. sote'!J13)</f>
        <v>2905.6</v>
      </c>
      <c r="K13" s="6">
        <f>SUM(LNP!K13+MiPä!L13+IKÄ!K13+HOITOT!K13+Kuntoutus!K13+Vammaispalvelut!K13+Hanketoimisto!K13+Innovaatio!K13+Ensihoito!K13+Hyte!K13+'Virt. sote'!K13)</f>
        <v>222.28</v>
      </c>
      <c r="L13" s="6">
        <f>SUM(LNP!L13+MiPä!M13+IKÄ!L13+HOITOT!L13+Kuntoutus!L13+Vammaispalvelut!L13+Hanketoimisto!L13+Innovaatio!L13+Ensihoito!L13+Hyte!L13+'Virt. sote'!L13)</f>
        <v>256.24</v>
      </c>
      <c r="M13" s="6">
        <f>SUM(LNP!M13+MiPä!N13+IKÄ!M13+HOITOT!M13+Kuntoutus!M13+Vammaispalvelut!M13+Hanketoimisto!M13+Innovaatio!M13+Ensihoito!M13+Hyte!M13+'Virt. sote'!M13)</f>
        <v>11046.349999999999</v>
      </c>
      <c r="N13" s="6">
        <f>SUM(LNP!N13+MiPä!O13+IKÄ!N13+HOITOT!N13+Kuntoutus!N13+Vammaispalvelut!N13+Hanketoimisto!N13+Innovaatio!N13+Ensihoito!N13+Hyte!N13+'Virt. sote'!N13)</f>
        <v>4568.9299999999994</v>
      </c>
      <c r="O13" s="6">
        <f>SUM(Kuntoutus!O13)</f>
        <v>318.56</v>
      </c>
      <c r="P13" s="6">
        <f>SUM(LNP!O13+MiPä!P13+IKÄ!O13+HOITOT!O13+Kuntoutus!P13+Vammaispalvelut!O13+Hanketoimisto!O13+Innovaatio!O13+Ensihoito!O13+Hyte!O13+'Virt. sote'!O13)</f>
        <v>11435.300000000001</v>
      </c>
      <c r="Q13" s="6">
        <f>SUM(LNP!P13+MiPä!Q13+IKÄ!P13+HOITOT!P13+Kuntoutus!Q13+Vammaispalvelut!P13+Hanketoimisto!P13+Innovaatio!P13+Ensihoito!P13+Hyte!P13+'Virt. sote'!P13)</f>
        <v>11897.619999999997</v>
      </c>
      <c r="R13" s="6">
        <f>SUM(LNP!Q13+MiPä!R13+IKÄ!Q13+HOITOT!Q13+Kuntoutus!R13+Vammaispalvelut!Q13+Hanketoimisto!Q13+Innovaatio!Q13+Ensihoito!Q13+Hyte!Q13+'Virt. sote'!Q13)</f>
        <v>0</v>
      </c>
    </row>
    <row r="14" spans="1:18" x14ac:dyDescent="0.3">
      <c r="A14" t="s">
        <v>24</v>
      </c>
      <c r="B14" s="6">
        <f t="shared" si="0"/>
        <v>61677.679999999993</v>
      </c>
      <c r="C14" s="6">
        <f>SUM(LNP!C14+MiPä!C14+MiPä!D14+IKÄ!C14+HOITOT!C14+Kuntoutus!C14+Vammaispalvelut!C14+Hanketoimisto!C14+Innovaatio!C14+Ensihoito!C14+Hyte!C14+'Virt. sote'!C14+'Jonojen purku'!C14+'Jonojen purku'!D14)</f>
        <v>49556.399999999994</v>
      </c>
      <c r="D14" s="6">
        <f>SUM(LNP!D14+MiPä!E14+IKÄ!D14+HOITOT!D14+Kuntoutus!D14+Vammaispalvelut!D14+Hanketoimisto!D14+Innovaatio!D14+Ensihoito!D14+Hyte!D14+'Virt. sote'!D14)</f>
        <v>0</v>
      </c>
      <c r="E14" s="6">
        <f>SUM(LNP!E14+MiPä!F14+IKÄ!E14+HOITOT!E14+Kuntoutus!E14+Vammaispalvelut!E14+Hanketoimisto!E14+Innovaatio!E14+Ensihoito!E14+Hyte!E14+'Virt. sote'!E14)</f>
        <v>568</v>
      </c>
      <c r="F14" s="6">
        <f>SUM(LNP!F14+MiPä!G14+IKÄ!F14+HOITOT!F14+Kuntoutus!F14+Vammaispalvelut!F14+Hanketoimisto!F14+Innovaatio!F14+Ensihoito!F14+Hyte!F14+'Virt. sote'!F14)</f>
        <v>721.06</v>
      </c>
      <c r="G14" s="6">
        <f>SUM(LNP!G14+MiPä!H14+IKÄ!G14+HOITOT!G14+Kuntoutus!G14+Vammaispalvelut!G14+Hanketoimisto!G14+Innovaatio!G14+Ensihoito!G14+Hyte!G14+'Virt. sote'!G14)</f>
        <v>2119.7400000000002</v>
      </c>
      <c r="H14" s="6">
        <f>SUM(LNP!H14+MiPä!I14+IKÄ!H14+HOITOT!H14+Kuntoutus!H14+Vammaispalvelut!H14+Hanketoimisto!H14+Innovaatio!H14+Ensihoito!H14+Hyte!H14+'Virt. sote'!H14)</f>
        <v>415</v>
      </c>
      <c r="I14" s="6">
        <f>SUM(LNP!I14+MiPä!J14+IKÄ!I14+HOITOT!I14+Kuntoutus!I14+Vammaispalvelut!I14+Hanketoimisto!I14+Innovaatio!I14+Ensihoito!I14+Hyte!I14+'Virt. sote'!I14)</f>
        <v>1583.78</v>
      </c>
      <c r="J14" s="6">
        <f>SUM(LNP!J14+MiPä!K14+IKÄ!J14+HOITOT!J14+Kuntoutus!J14+Vammaispalvelut!J14+Hanketoimisto!J14+Innovaatio!J14+Ensihoito!J14+Hyte!J14+'Virt. sote'!J14)</f>
        <v>1377.98</v>
      </c>
      <c r="K14" s="6">
        <f>SUM(LNP!K14+MiPä!L14+IKÄ!K14+HOITOT!K14+Kuntoutus!K14+Vammaispalvelut!K14+Hanketoimisto!K14+Innovaatio!K14+Ensihoito!K14+Hyte!K14+'Virt. sote'!K14)</f>
        <v>345</v>
      </c>
      <c r="L14" s="6">
        <f>SUM(LNP!L14+MiPä!M14+IKÄ!L14+HOITOT!L14+Kuntoutus!L14+Vammaispalvelut!L14+Hanketoimisto!L14+Innovaatio!L14+Ensihoito!L14+Hyte!L14+'Virt. sote'!L14)</f>
        <v>0</v>
      </c>
      <c r="M14" s="6">
        <f>SUM(LNP!M14+MiPä!N14+IKÄ!M14+HOITOT!M14+Kuntoutus!M14+Vammaispalvelut!M14+Hanketoimisto!M14+Innovaatio!M14+Ensihoito!M14+Hyte!M14+'Virt. sote'!M14)</f>
        <v>3695.7200000000003</v>
      </c>
      <c r="N14" s="6">
        <f>SUM(LNP!N14+MiPä!O14+IKÄ!N14+HOITOT!N14+Kuntoutus!N14+Vammaispalvelut!N14+Hanketoimisto!N14+Innovaatio!N14+Ensihoito!N14+Hyte!N14+'Virt. sote'!N14)</f>
        <v>940</v>
      </c>
      <c r="O14" s="6">
        <f>SUM(Kuntoutus!O14)</f>
        <v>0</v>
      </c>
      <c r="P14" s="6">
        <f>SUM(LNP!O14+MiPä!P14+IKÄ!O14+HOITOT!O14+Kuntoutus!P14+Vammaispalvelut!O14+Hanketoimisto!O14+Innovaatio!O14+Ensihoito!O14+Hyte!O14+'Virt. sote'!O14)</f>
        <v>355</v>
      </c>
      <c r="Q14" s="6">
        <f>SUM(LNP!P14+MiPä!Q14+IKÄ!P14+HOITOT!P14+Kuntoutus!Q14+Vammaispalvelut!P14+Hanketoimisto!P14+Innovaatio!P14+Ensihoito!P14+Hyte!P14+'Virt. sote'!P14)</f>
        <v>0</v>
      </c>
      <c r="R14" s="6">
        <f>SUM(LNP!Q14+MiPä!R14+IKÄ!Q14+HOITOT!Q14+Kuntoutus!R14+Vammaispalvelut!Q14+Hanketoimisto!Q14+Innovaatio!Q14+Ensihoito!Q14+Hyte!Q14+'Virt. sote'!Q14)</f>
        <v>0</v>
      </c>
    </row>
    <row r="15" spans="1:18" x14ac:dyDescent="0.3">
      <c r="A15" t="s">
        <v>25</v>
      </c>
      <c r="B15" s="6">
        <f t="shared" si="0"/>
        <v>734774.54999999993</v>
      </c>
      <c r="C15" s="6">
        <f>SUM(LNP!C15+MiPä!C15+MiPä!D15+IKÄ!C15+HOITOT!C15+Kuntoutus!C15+Vammaispalvelut!C15+Hanketoimisto!C15+Innovaatio!C15+Ensihoito!C15+Hyte!C15+'Virt. sote'!C15+'Jonojen purku'!C15+'Jonojen purku'!D15)</f>
        <v>702805.49</v>
      </c>
      <c r="D15" s="6">
        <f>SUM(LNP!D15+MiPä!E15+IKÄ!D15+HOITOT!D15+Kuntoutus!D15+Vammaispalvelut!D15+Hanketoimisto!D15+Innovaatio!D15+Ensihoito!D15+Hyte!D15+'Virt. sote'!D15)</f>
        <v>0</v>
      </c>
      <c r="E15" s="6">
        <f>SUM(LNP!E15+MiPä!F15+IKÄ!E15+HOITOT!E15+Kuntoutus!E15+Vammaispalvelut!E15+Hanketoimisto!E15+Innovaatio!E15+Ensihoito!E15+Hyte!E15+'Virt. sote'!E15)</f>
        <v>4121.25</v>
      </c>
      <c r="F15" s="6">
        <f>SUM(LNP!F15+MiPä!G15+IKÄ!F15+HOITOT!F15+Kuntoutus!F15+Vammaispalvelut!F15+Hanketoimisto!F15+Innovaatio!F15+Ensihoito!F15+Hyte!F15+'Virt. sote'!F15)</f>
        <v>3.31</v>
      </c>
      <c r="G15" s="6">
        <f>SUM(LNP!G15+MiPä!H15+IKÄ!G15+HOITOT!G15+Kuntoutus!G15+Vammaispalvelut!G15+Hanketoimisto!G15+Innovaatio!G15+Ensihoito!G15+Hyte!G15+'Virt. sote'!G15)</f>
        <v>2557.94</v>
      </c>
      <c r="H15" s="6">
        <f>SUM(LNP!H15+MiPä!I15+IKÄ!H15+HOITOT!H15+Kuntoutus!H15+Vammaispalvelut!H15+Hanketoimisto!H15+Innovaatio!H15+Ensihoito!H15+Hyte!H15+'Virt. sote'!H15)</f>
        <v>8994.24</v>
      </c>
      <c r="I15" s="6">
        <f>SUM(LNP!I15+MiPä!J15+IKÄ!I15+HOITOT!I15+Kuntoutus!I15+Vammaispalvelut!I15+Hanketoimisto!I15+Innovaatio!I15+Ensihoito!I15+Hyte!I15+'Virt. sote'!I15)</f>
        <v>1899.99</v>
      </c>
      <c r="J15" s="6">
        <f>SUM(LNP!J15+MiPä!K15+IKÄ!J15+HOITOT!J15+Kuntoutus!J15+Vammaispalvelut!J15+Hanketoimisto!J15+Innovaatio!J15+Ensihoito!J15+Hyte!J15+'Virt. sote'!J15)</f>
        <v>146.49</v>
      </c>
      <c r="K15" s="6">
        <f>SUM(LNP!K15+MiPä!L15+IKÄ!K15+HOITOT!K15+Kuntoutus!K15+Vammaispalvelut!K15+Hanketoimisto!K15+Innovaatio!K15+Ensihoito!K15+Hyte!K15+'Virt. sote'!K15)</f>
        <v>0</v>
      </c>
      <c r="L15" s="6">
        <f>SUM(LNP!L15+MiPä!M15+IKÄ!L15+HOITOT!L15+Kuntoutus!L15+Vammaispalvelut!L15+Hanketoimisto!L15+Innovaatio!L15+Ensihoito!L15+Hyte!L15+'Virt. sote'!L15)</f>
        <v>0</v>
      </c>
      <c r="M15" s="6">
        <f>SUM(LNP!M15+MiPä!N15+IKÄ!M15+HOITOT!M15+Kuntoutus!M15+Vammaispalvelut!M15+Hanketoimisto!M15+Innovaatio!M15+Ensihoito!M15+Hyte!M15+'Virt. sote'!M15)</f>
        <v>1914.0000000000002</v>
      </c>
      <c r="N15" s="6">
        <f>SUM(LNP!N15+MiPä!O15+IKÄ!N15+HOITOT!N15+Kuntoutus!N15+Vammaispalvelut!N15+Hanketoimisto!N15+Innovaatio!N15+Ensihoito!N15+Hyte!N15+'Virt. sote'!N15)</f>
        <v>10396.460000000001</v>
      </c>
      <c r="O15" s="6">
        <f>SUM(Kuntoutus!O15)</f>
        <v>0</v>
      </c>
      <c r="P15" s="6">
        <f>SUM(LNP!O15+MiPä!P15+IKÄ!O15+HOITOT!O15+Kuntoutus!P15+Vammaispalvelut!O15+Hanketoimisto!O15+Innovaatio!O15+Ensihoito!O15+Hyte!O15+'Virt. sote'!O15)</f>
        <v>945.88</v>
      </c>
      <c r="Q15" s="6">
        <f>SUM(LNP!P15+MiPä!Q15+IKÄ!P15+HOITOT!P15+Kuntoutus!Q15+Vammaispalvelut!P15+Hanketoimisto!P15+Innovaatio!P15+Ensihoito!P15+Hyte!P15+'Virt. sote'!P15)</f>
        <v>989.5</v>
      </c>
      <c r="R15" s="6">
        <f>SUM(LNP!Q15+MiPä!R15+IKÄ!Q15+HOITOT!Q15+Kuntoutus!R15+Vammaispalvelut!Q15+Hanketoimisto!Q15+Innovaatio!Q15+Ensihoito!Q15+Hyte!Q15+'Virt. sote'!Q15)</f>
        <v>0</v>
      </c>
    </row>
    <row r="16" spans="1:18" s="1" customFormat="1" ht="18.899999999999999" customHeight="1" x14ac:dyDescent="0.3">
      <c r="A16" s="1" t="s">
        <v>26</v>
      </c>
      <c r="B16" s="5">
        <f t="shared" si="0"/>
        <v>36967.409999999996</v>
      </c>
      <c r="C16" s="5">
        <f>SUM(LNP!C16+MiPä!C16+MiPä!D16+IKÄ!C16+HOITOT!C16+Kuntoutus!C16+Vammaispalvelut!C16+Hanketoimisto!C16+Innovaatio!C16+Ensihoito!C16+Hyte!C16+'Virt. sote'!C16+'Jonojen purku'!C16+'Jonojen purku'!D16)</f>
        <v>25161.160000000003</v>
      </c>
      <c r="D16" s="5">
        <f>SUM(LNP!D16+MiPä!E16+IKÄ!D16+HOITOT!D16+Kuntoutus!D16+Vammaispalvelut!D16+Hanketoimisto!D16+Innovaatio!D16+Ensihoito!D16+Hyte!D16+'Virt. sote'!D16)</f>
        <v>0</v>
      </c>
      <c r="E16" s="5">
        <f>SUM(LNP!E16+MiPä!F16+IKÄ!E16+HOITOT!E16+Kuntoutus!E16+Vammaispalvelut!E16+Hanketoimisto!E16+Innovaatio!E16+Ensihoito!E16+Hyte!E16+'Virt. sote'!E16)</f>
        <v>6.82</v>
      </c>
      <c r="F16" s="5">
        <f>SUM(LNP!F16+MiPä!G16+IKÄ!F16+HOITOT!F16+Kuntoutus!F16+Vammaispalvelut!F16+Hanketoimisto!F16+Innovaatio!F16+Ensihoito!F16+Hyte!F16+'Virt. sote'!F16)</f>
        <v>647.55999999999995</v>
      </c>
      <c r="G16" s="5">
        <f>SUM(LNP!G16+MiPä!H16+IKÄ!G16+HOITOT!G16+Kuntoutus!G16+Vammaispalvelut!G16+Hanketoimisto!G16+Innovaatio!G16+Ensihoito!G16+Hyte!G16+'Virt. sote'!G16)</f>
        <v>571.4</v>
      </c>
      <c r="H16" s="5">
        <f>SUM(LNP!H16+MiPä!I16+IKÄ!H16+HOITOT!H16+Kuntoutus!H16+Vammaispalvelut!H16+Hanketoimisto!H16+Innovaatio!H16+Ensihoito!H16+Hyte!H16+'Virt. sote'!H16)</f>
        <v>3404.7599999999998</v>
      </c>
      <c r="I16" s="5">
        <f>SUM(LNP!I16+MiPä!J16+IKÄ!I16+HOITOT!I16+Kuntoutus!I16+Vammaispalvelut!I16+Hanketoimisto!I16+Innovaatio!I16+Ensihoito!I16+Hyte!I16+'Virt. sote'!I16)</f>
        <v>229.42</v>
      </c>
      <c r="J16" s="5">
        <f>SUM(LNP!J16+MiPä!K16+IKÄ!J16+HOITOT!J16+Kuntoutus!J16+Vammaispalvelut!J16+Hanketoimisto!J16+Innovaatio!J16+Ensihoito!J16+Hyte!J16+'Virt. sote'!J16)</f>
        <v>2355</v>
      </c>
      <c r="K16" s="5">
        <f>SUM(LNP!K16+MiPä!L16+IKÄ!K16+HOITOT!K16+Kuntoutus!K16+Vammaispalvelut!K16+Hanketoimisto!K16+Innovaatio!K16+Ensihoito!K16+Hyte!K16+'Virt. sote'!K16)</f>
        <v>1905.42</v>
      </c>
      <c r="L16" s="5">
        <f>SUM(LNP!L16+MiPä!M16+IKÄ!L16+HOITOT!L16+Kuntoutus!L16+Vammaispalvelut!L16+Hanketoimisto!L16+Innovaatio!L16+Ensihoito!L16+Hyte!L16+'Virt. sote'!L16)</f>
        <v>0</v>
      </c>
      <c r="M16" s="5">
        <f>SUM(LNP!M16+MiPä!N16+IKÄ!M16+HOITOT!M16+Kuntoutus!M16+Vammaispalvelut!M16+Hanketoimisto!M16+Innovaatio!M16+Ensihoito!M16+Hyte!M16+'Virt. sote'!M16)</f>
        <v>874.46</v>
      </c>
      <c r="N16" s="5">
        <f>SUM(LNP!N16+MiPä!O16+IKÄ!N16+HOITOT!N16+Kuntoutus!N16+Vammaispalvelut!N16+Hanketoimisto!N16+Innovaatio!N16+Ensihoito!N16+Hyte!N16+'Virt. sote'!N16)</f>
        <v>48.31</v>
      </c>
      <c r="O16" s="5">
        <f>SUM(Kuntoutus!O16)</f>
        <v>194.35</v>
      </c>
      <c r="P16" s="5">
        <f>SUM(LNP!O16+MiPä!P16+IKÄ!O16+HOITOT!O16+Kuntoutus!P16+Vammaispalvelut!O16+Hanketoimisto!O16+Innovaatio!O16+Ensihoito!O16+Hyte!O16+'Virt. sote'!O16)</f>
        <v>1387.44</v>
      </c>
      <c r="Q16" s="5">
        <f>SUM(LNP!P16+MiPä!Q16+IKÄ!P16+HOITOT!P16+Kuntoutus!Q16+Vammaispalvelut!P16+Hanketoimisto!P16+Innovaatio!P16+Ensihoito!P16+Hyte!P16+'Virt. sote'!P16)</f>
        <v>181.31</v>
      </c>
      <c r="R16" s="5">
        <f>SUM(LNP!Q16+MiPä!R16+IKÄ!Q16+HOITOT!Q16+Kuntoutus!R16+Vammaispalvelut!Q16+Hanketoimisto!Q16+Innovaatio!Q16+Ensihoito!Q16+Hyte!Q16+'Virt. sote'!Q16)</f>
        <v>0</v>
      </c>
    </row>
    <row r="17" spans="1:18" s="1" customFormat="1" ht="18.899999999999999" customHeight="1" x14ac:dyDescent="0.3">
      <c r="A17" s="1" t="s">
        <v>27</v>
      </c>
      <c r="B17" s="5">
        <f t="shared" si="0"/>
        <v>357137.28999999992</v>
      </c>
      <c r="C17" s="5">
        <f>SUM(LNP!C17+MiPä!C17+MiPä!D17+IKÄ!C17+HOITOT!C17+Kuntoutus!C17+Vammaispalvelut!C17+Hanketoimisto!C17+Innovaatio!C17+Ensihoito!C17+Hyte!C17+'Virt. sote'!C17+'Jonojen purku'!C17+'Jonojen purku'!D17)</f>
        <v>297065.63</v>
      </c>
      <c r="D17" s="5">
        <f>SUM(LNP!D17+MiPä!E17+IKÄ!D17+HOITOT!D17+Kuntoutus!D17+Vammaispalvelut!D17+Hanketoimisto!D17+Innovaatio!D17+Ensihoito!D17+Hyte!D17+'Virt. sote'!D17)</f>
        <v>0</v>
      </c>
      <c r="E17" s="5">
        <f>SUM(LNP!E17+MiPä!F17+IKÄ!E17+HOITOT!E17+Kuntoutus!E17+Vammaispalvelut!E17+Hanketoimisto!E17+Innovaatio!E17+Ensihoito!E17+Hyte!E17+'Virt. sote'!E17)</f>
        <v>440.47999999999996</v>
      </c>
      <c r="F17" s="5">
        <f>SUM(LNP!F17+MiPä!G17+IKÄ!F17+HOITOT!F17+Kuntoutus!F17+Vammaispalvelut!F17+Hanketoimisto!F17+Innovaatio!F17+Ensihoito!F17+Hyte!F17+'Virt. sote'!F17)</f>
        <v>1687.86</v>
      </c>
      <c r="G17" s="5">
        <f>SUM(LNP!G17+MiPä!H17+IKÄ!G17+HOITOT!G17+Kuntoutus!G17+Vammaispalvelut!G17+Hanketoimisto!G17+Innovaatio!G17+Ensihoito!G17+Hyte!G17+'Virt. sote'!G17)</f>
        <v>14201.81</v>
      </c>
      <c r="H17" s="5">
        <f>SUM(LNP!H17+MiPä!I17+IKÄ!H17+HOITOT!H17+Kuntoutus!H17+Vammaispalvelut!H17+Hanketoimisto!H17+Innovaatio!H17+Ensihoito!H17+Hyte!H17+'Virt. sote'!H17)</f>
        <v>255.25</v>
      </c>
      <c r="I17" s="5">
        <f>SUM(LNP!I17+MiPä!J17+IKÄ!I17+HOITOT!I17+Kuntoutus!I17+Vammaispalvelut!I17+Hanketoimisto!I17+Innovaatio!I17+Ensihoito!I17+Hyte!I17+'Virt. sote'!I17)</f>
        <v>820.42000000000007</v>
      </c>
      <c r="J17" s="5">
        <f>SUM(LNP!J17+MiPä!K17+IKÄ!J17+HOITOT!J17+Kuntoutus!J17+Vammaispalvelut!J17+Hanketoimisto!J17+Innovaatio!J17+Ensihoito!J17+Hyte!J17+'Virt. sote'!J17)</f>
        <v>7610.3099999999995</v>
      </c>
      <c r="K17" s="5">
        <f>SUM(LNP!K17+MiPä!L17+IKÄ!K17+HOITOT!K17+Kuntoutus!K17+Vammaispalvelut!K17+Hanketoimisto!K17+Innovaatio!K17+Ensihoito!K17+Hyte!K17+'Virt. sote'!K17)</f>
        <v>240</v>
      </c>
      <c r="L17" s="5">
        <f>SUM(LNP!L17+MiPä!M17+IKÄ!L17+HOITOT!L17+Kuntoutus!L17+Vammaispalvelut!L17+Hanketoimisto!L17+Innovaatio!L17+Ensihoito!L17+Hyte!L17+'Virt. sote'!L17)</f>
        <v>0</v>
      </c>
      <c r="M17" s="5">
        <f>SUM(LNP!M17+MiPä!N17+IKÄ!M17+HOITOT!M17+Kuntoutus!M17+Vammaispalvelut!M17+Hanketoimisto!M17+Innovaatio!M17+Ensihoito!M17+Hyte!M17+'Virt. sote'!M17)</f>
        <v>31335.05</v>
      </c>
      <c r="N17" s="5">
        <f>SUM(LNP!N17+MiPä!O17+IKÄ!N17+HOITOT!N17+Kuntoutus!N17+Vammaispalvelut!N17+Hanketoimisto!N17+Innovaatio!N17+Ensihoito!N17+Hyte!N17+'Virt. sote'!N17)</f>
        <v>2771.75</v>
      </c>
      <c r="O17" s="5">
        <f>SUM(Kuntoutus!O17)</f>
        <v>0</v>
      </c>
      <c r="P17" s="5">
        <f>SUM(LNP!O17+MiPä!P17+IKÄ!O17+HOITOT!O17+Kuntoutus!P17+Vammaispalvelut!O17+Hanketoimisto!O17+Innovaatio!O17+Ensihoito!O17+Hyte!O17+'Virt. sote'!O17)</f>
        <v>254.68</v>
      </c>
      <c r="Q17" s="5">
        <f>SUM(LNP!P17+MiPä!Q17+IKÄ!P17+HOITOT!P17+Kuntoutus!Q17+Vammaispalvelut!P17+Hanketoimisto!P17+Innovaatio!P17+Ensihoito!P17+Hyte!P17+'Virt. sote'!P17)</f>
        <v>454.05</v>
      </c>
      <c r="R17" s="5">
        <f>SUM(LNP!Q17+MiPä!R17+IKÄ!Q17+HOITOT!Q17+Kuntoutus!R17+Vammaispalvelut!Q17+Hanketoimisto!Q17+Innovaatio!Q17+Ensihoito!Q17+Hyte!Q17+'Virt. sote'!Q17)</f>
        <v>0</v>
      </c>
    </row>
    <row r="18" spans="1:18" s="1" customFormat="1" ht="18.899999999999999" customHeight="1" x14ac:dyDescent="0.3">
      <c r="A18" s="1" t="s">
        <v>28</v>
      </c>
      <c r="B18" s="5">
        <f t="shared" si="0"/>
        <v>55230.53</v>
      </c>
      <c r="C18" s="5">
        <f>SUM(LNP!C18+MiPä!C18+MiPä!D18+IKÄ!C18+HOITOT!C18+Kuntoutus!C18+Vammaispalvelut!C18+Hanketoimisto!C18+Innovaatio!C18+Ensihoito!C18+Hyte!C18+'Virt. sote'!C18+'Jonojen purku'!C18+'Jonojen purku'!D18)</f>
        <v>41656.76</v>
      </c>
      <c r="D18" s="5">
        <f>SUM(LNP!D18+MiPä!E18+IKÄ!D18+HOITOT!D18+Kuntoutus!D18+Vammaispalvelut!D18+Hanketoimisto!D18+Innovaatio!D18+Ensihoito!D18+Hyte!D18+'Virt. sote'!D18)</f>
        <v>0</v>
      </c>
      <c r="E18" s="5">
        <f>SUM(LNP!E18+MiPä!F18+IKÄ!E18+HOITOT!E18+Kuntoutus!E18+Vammaispalvelut!E18+Hanketoimisto!E18+Innovaatio!E18+Ensihoito!E18+Hyte!E18+'Virt. sote'!E18)</f>
        <v>0</v>
      </c>
      <c r="F18" s="5">
        <f>SUM(LNP!F18+MiPä!G18+IKÄ!F18+HOITOT!F18+Kuntoutus!F18+Vammaispalvelut!F18+Hanketoimisto!F18+Innovaatio!F18+Ensihoito!F18+Hyte!F18+'Virt. sote'!F18)</f>
        <v>30.65</v>
      </c>
      <c r="G18" s="5">
        <f>SUM(LNP!G18+MiPä!H18+IKÄ!G18+HOITOT!G18+Kuntoutus!G18+Vammaispalvelut!G18+Hanketoimisto!G18+Innovaatio!G18+Ensihoito!G18+Hyte!G18+'Virt. sote'!G18)</f>
        <v>4832.34</v>
      </c>
      <c r="H18" s="5">
        <f>SUM(LNP!H18+MiPä!I18+IKÄ!H18+HOITOT!H18+Kuntoutus!H18+Vammaispalvelut!H18+Hanketoimisto!H18+Innovaatio!H18+Ensihoito!H18+Hyte!H18+'Virt. sote'!H18)</f>
        <v>1577.3600000000001</v>
      </c>
      <c r="I18" s="5">
        <f>SUM(LNP!I18+MiPä!J18+IKÄ!I18+HOITOT!I18+Kuntoutus!I18+Vammaispalvelut!I18+Hanketoimisto!I18+Innovaatio!I18+Ensihoito!I18+Hyte!I18+'Virt. sote'!I18)</f>
        <v>0</v>
      </c>
      <c r="J18" s="5">
        <f>SUM(LNP!J18+MiPä!K18+IKÄ!J18+HOITOT!J18+Kuntoutus!J18+Vammaispalvelut!J18+Hanketoimisto!J18+Innovaatio!J18+Ensihoito!J18+Hyte!J18+'Virt. sote'!J18)</f>
        <v>6577.37</v>
      </c>
      <c r="K18" s="5">
        <f>SUM(LNP!K18+MiPä!L18+IKÄ!K18+HOITOT!K18+Kuntoutus!K18+Vammaispalvelut!K18+Hanketoimisto!K18+Innovaatio!K18+Ensihoito!K18+Hyte!K18+'Virt. sote'!K18)</f>
        <v>0</v>
      </c>
      <c r="L18" s="5">
        <f>SUM(LNP!L18+MiPä!M18+IKÄ!L18+HOITOT!L18+Kuntoutus!L18+Vammaispalvelut!L18+Hanketoimisto!L18+Innovaatio!L18+Ensihoito!L18+Hyte!L18+'Virt. sote'!L18)</f>
        <v>0</v>
      </c>
      <c r="M18" s="5">
        <f>SUM(LNP!M18+MiPä!N18+IKÄ!M18+HOITOT!M18+Kuntoutus!M18+Vammaispalvelut!M18+Hanketoimisto!M18+Innovaatio!M18+Ensihoito!M18+Hyte!M18+'Virt. sote'!M18)</f>
        <v>393.1</v>
      </c>
      <c r="N18" s="5">
        <f>SUM(LNP!N18+MiPä!O18+IKÄ!N18+HOITOT!N18+Kuntoutus!N18+Vammaispalvelut!N18+Hanketoimisto!N18+Innovaatio!N18+Ensihoito!N18+Hyte!N18+'Virt. sote'!N18)</f>
        <v>162.94999999999999</v>
      </c>
      <c r="O18" s="5">
        <f>SUM(Kuntoutus!O18)</f>
        <v>0</v>
      </c>
      <c r="P18" s="5">
        <f>SUM(LNP!O18+MiPä!P18+IKÄ!O18+HOITOT!O18+Kuntoutus!P18+Vammaispalvelut!O18+Hanketoimisto!O18+Innovaatio!O18+Ensihoito!O18+Hyte!O18+'Virt. sote'!O18)</f>
        <v>0</v>
      </c>
      <c r="Q18" s="5">
        <f>SUM(LNP!P18+MiPä!Q18+IKÄ!P18+HOITOT!P18+Kuntoutus!Q18+Vammaispalvelut!P18+Hanketoimisto!P18+Innovaatio!P18+Ensihoito!P18+Hyte!P18+'Virt. sote'!P18)</f>
        <v>0</v>
      </c>
      <c r="R18" s="5">
        <f>SUM(LNP!Q18+MiPä!R18+IKÄ!Q18+HOITOT!Q18+Kuntoutus!R18+Vammaispalvelut!Q18+Hanketoimisto!Q18+Innovaatio!Q18+Ensihoito!Q18+Hyte!Q18+'Virt. sote'!Q18)</f>
        <v>0</v>
      </c>
    </row>
    <row r="19" spans="1:18" s="1" customFormat="1" ht="18.899999999999999" customHeight="1" x14ac:dyDescent="0.3">
      <c r="A19" s="1" t="s">
        <v>29</v>
      </c>
      <c r="B19" s="5">
        <f t="shared" si="0"/>
        <v>4786.1000000000004</v>
      </c>
      <c r="C19" s="5">
        <f>SUM(C20:C22)</f>
        <v>3222.9</v>
      </c>
      <c r="D19" s="5">
        <f t="shared" ref="D19:P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200.69</v>
      </c>
      <c r="I19" s="5">
        <f t="shared" si="4"/>
        <v>0</v>
      </c>
      <c r="J19" s="5">
        <f t="shared" si="4"/>
        <v>1362.51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ref="Q19:R19" si="5">SUM(Q20:Q22)</f>
        <v>0</v>
      </c>
      <c r="R19" s="5">
        <f t="shared" si="5"/>
        <v>0</v>
      </c>
    </row>
    <row r="20" spans="1:18" x14ac:dyDescent="0.3">
      <c r="A20" t="s">
        <v>30</v>
      </c>
      <c r="B20" s="6">
        <f t="shared" si="0"/>
        <v>0</v>
      </c>
      <c r="C20" s="6">
        <f>SUM(LNP!C20+MiPä!C20+MiPä!D20+IKÄ!C20+HOITOT!C20+Kuntoutus!C20+Vammaispalvelut!C20+Hanketoimisto!C20+Innovaatio!C20+Ensihoito!C20+Hyte!C20+'Virt. sote'!C20+'Jonojen purku'!C20+'Jonojen purku'!D20)</f>
        <v>0</v>
      </c>
      <c r="D20" s="6">
        <f>SUM(LNP!D20+MiPä!E20+IKÄ!D20+HOITOT!D20+Kuntoutus!D20+Vammaispalvelut!D20+Hanketoimisto!D20+Innovaatio!D20+Ensihoito!D20+Hyte!D20+'Virt. sote'!D20)</f>
        <v>0</v>
      </c>
      <c r="E20" s="6">
        <f>SUM(LNP!E20+MiPä!F20+IKÄ!E20+HOITOT!E20+Kuntoutus!E20+Vammaispalvelut!E20+Hanketoimisto!E20+Innovaatio!E20+Ensihoito!E20+Hyte!E20+'Virt. sote'!E20)</f>
        <v>0</v>
      </c>
      <c r="F20" s="6">
        <f>SUM(LNP!F20+MiPä!G20+IKÄ!F20+HOITOT!F20+Kuntoutus!F20+Vammaispalvelut!F20+Hanketoimisto!F20+Innovaatio!F20+Ensihoito!F20+Hyte!F20+'Virt. sote'!F20)</f>
        <v>0</v>
      </c>
      <c r="G20" s="6">
        <f>SUM(LNP!G20+MiPä!H20+IKÄ!G20+HOITOT!G20+Kuntoutus!G20+Vammaispalvelut!G20+Hanketoimisto!G20+Innovaatio!G20+Ensihoito!G20+Hyte!G20+'Virt. sote'!G20)</f>
        <v>0</v>
      </c>
      <c r="H20" s="6">
        <f>SUM(LNP!H20+MiPä!I20+IKÄ!H20+HOITOT!H20+Kuntoutus!H20+Vammaispalvelut!H20+Hanketoimisto!H20+Innovaatio!H20+Ensihoito!H20+Hyte!H20+'Virt. sote'!H20)</f>
        <v>0</v>
      </c>
      <c r="I20" s="6">
        <f>SUM(LNP!I20+MiPä!J20+IKÄ!I20+HOITOT!I20+Kuntoutus!I20+Vammaispalvelut!I20+Hanketoimisto!I20+Innovaatio!I20+Ensihoito!I20+Hyte!I20+'Virt. sote'!I20)</f>
        <v>0</v>
      </c>
      <c r="J20" s="6">
        <f>SUM(LNP!J20+MiPä!K20+IKÄ!J20+HOITOT!J20+Kuntoutus!J20+Vammaispalvelut!J20+Hanketoimisto!J20+Innovaatio!J20+Ensihoito!J20+Hyte!J20+'Virt. sote'!J20)</f>
        <v>0</v>
      </c>
      <c r="K20" s="6">
        <f>SUM(LNP!K20+MiPä!L20+IKÄ!K20+HOITOT!K20+Kuntoutus!K20+Vammaispalvelut!K20+Hanketoimisto!K20+Innovaatio!K20+Ensihoito!K20+Hyte!K20+'Virt. sote'!K20)</f>
        <v>0</v>
      </c>
      <c r="L20" s="6">
        <f>SUM(LNP!L20+MiPä!M20+IKÄ!L20+HOITOT!L20+Kuntoutus!L20+Vammaispalvelut!L20+Hanketoimisto!L20+Innovaatio!L20+Ensihoito!L20+Hyte!L20+'Virt. sote'!L20)</f>
        <v>0</v>
      </c>
      <c r="M20" s="6">
        <f>SUM(LNP!M20+MiPä!N20+IKÄ!M20+HOITOT!M20+Kuntoutus!M20+Vammaispalvelut!M20+Hanketoimisto!M20+Innovaatio!M20+Ensihoito!M20+Hyte!M20+'Virt. sote'!M20)</f>
        <v>0</v>
      </c>
      <c r="N20" s="6">
        <f>SUM(LNP!N20+MiPä!O20+IKÄ!N20+HOITOT!N20+Kuntoutus!N20+Vammaispalvelut!N20+Hanketoimisto!N20+Innovaatio!N20+Ensihoito!N20+Hyte!N20+'Virt. sote'!N20)</f>
        <v>0</v>
      </c>
      <c r="O20" s="6">
        <f>SUM(Kuntoutus!O20)</f>
        <v>0</v>
      </c>
      <c r="P20" s="6">
        <f>SUM(LNP!O20+MiPä!P20+IKÄ!O20+HOITOT!O20+Kuntoutus!P20+Vammaispalvelut!O20+Hanketoimisto!O20+Innovaatio!O20+Ensihoito!O20+Hyte!O20+'Virt. sote'!O20)</f>
        <v>0</v>
      </c>
      <c r="Q20" s="6">
        <f>SUM(LNP!P20+MiPä!Q20+IKÄ!P20+HOITOT!P20+Kuntoutus!Q20+Vammaispalvelut!P20+Hanketoimisto!P20+Innovaatio!P20+Ensihoito!P20+Hyte!P20+'Virt. sote'!P20)</f>
        <v>0</v>
      </c>
      <c r="R20" s="6">
        <f>SUM(LNP!Q20+MiPä!R20+IKÄ!Q20+HOITOT!Q20+Kuntoutus!R20+Vammaispalvelut!Q20+Hanketoimisto!Q20+Innovaatio!Q20+Ensihoito!Q20+Hyte!Q20+'Virt. sote'!Q20)</f>
        <v>0</v>
      </c>
    </row>
    <row r="21" spans="1:18" x14ac:dyDescent="0.3">
      <c r="A21" t="s">
        <v>31</v>
      </c>
      <c r="B21" s="6">
        <f t="shared" si="0"/>
        <v>4786.1000000000004</v>
      </c>
      <c r="C21" s="6">
        <f>SUM(LNP!C21+MiPä!C21+MiPä!D21+IKÄ!C21+HOITOT!C21+Kuntoutus!C21+Vammaispalvelut!C21+Hanketoimisto!C21+Innovaatio!C21+Ensihoito!C21+Hyte!C21+'Virt. sote'!C21+'Jonojen purku'!C21+'Jonojen purku'!D21)</f>
        <v>3222.9</v>
      </c>
      <c r="D21" s="6">
        <f>SUM(LNP!D21+MiPä!E21+IKÄ!D21+HOITOT!D21+Kuntoutus!D21+Vammaispalvelut!D21+Hanketoimisto!D21+Innovaatio!D21+Ensihoito!D21+Hyte!D21+'Virt. sote'!D21)</f>
        <v>0</v>
      </c>
      <c r="E21" s="6">
        <f>SUM(LNP!E21+MiPä!F21+IKÄ!E21+HOITOT!E21+Kuntoutus!E21+Vammaispalvelut!E21+Hanketoimisto!E21+Innovaatio!E21+Ensihoito!E21+Hyte!E21+'Virt. sote'!E21)</f>
        <v>0</v>
      </c>
      <c r="F21" s="6">
        <f>SUM(LNP!F21+MiPä!G21+IKÄ!F21+HOITOT!F21+Kuntoutus!F21+Vammaispalvelut!F21+Hanketoimisto!F21+Innovaatio!F21+Ensihoito!F21+Hyte!F21+'Virt. sote'!F21)</f>
        <v>0</v>
      </c>
      <c r="G21" s="6">
        <f>SUM(LNP!G21+MiPä!H21+IKÄ!G21+HOITOT!G21+Kuntoutus!G21+Vammaispalvelut!G21+Hanketoimisto!G21+Innovaatio!G21+Ensihoito!G21+Hyte!G21+'Virt. sote'!G21)</f>
        <v>0</v>
      </c>
      <c r="H21" s="6">
        <f>SUM(LNP!H21+MiPä!I21+IKÄ!H21+HOITOT!H21+Kuntoutus!H21+Vammaispalvelut!H21+Hanketoimisto!H21+Innovaatio!H21+Ensihoito!H21+Hyte!H21+'Virt. sote'!H21)</f>
        <v>200.69</v>
      </c>
      <c r="I21" s="6">
        <f>SUM(LNP!I21+MiPä!J21+IKÄ!I21+HOITOT!I21+Kuntoutus!I21+Vammaispalvelut!I21+Hanketoimisto!I21+Innovaatio!I21+Ensihoito!I21+Hyte!I21+'Virt. sote'!I21)</f>
        <v>0</v>
      </c>
      <c r="J21" s="6">
        <f>SUM(LNP!J21+MiPä!K21+IKÄ!J21+HOITOT!J21+Kuntoutus!J21+Vammaispalvelut!J21+Hanketoimisto!J21+Innovaatio!J21+Ensihoito!J21+Hyte!J21+'Virt. sote'!J21)</f>
        <v>1362.51</v>
      </c>
      <c r="K21" s="6">
        <f>SUM(LNP!K21+MiPä!L21+IKÄ!K21+HOITOT!K21+Kuntoutus!K21+Vammaispalvelut!K21+Hanketoimisto!K21+Innovaatio!K21+Ensihoito!K21+Hyte!K21+'Virt. sote'!K21)</f>
        <v>0</v>
      </c>
      <c r="L21" s="6">
        <f>SUM(LNP!L21+MiPä!M21+IKÄ!L21+HOITOT!L21+Kuntoutus!L21+Vammaispalvelut!L21+Hanketoimisto!L21+Innovaatio!L21+Ensihoito!L21+Hyte!L21+'Virt. sote'!L21)</f>
        <v>0</v>
      </c>
      <c r="M21" s="6">
        <f>SUM(LNP!M21+MiPä!N21+IKÄ!M21+HOITOT!M21+Kuntoutus!M21+Vammaispalvelut!M21+Hanketoimisto!M21+Innovaatio!M21+Ensihoito!M21+Hyte!M21+'Virt. sote'!M21)</f>
        <v>0</v>
      </c>
      <c r="N21" s="6">
        <f>SUM(LNP!N21+MiPä!O21+IKÄ!N21+HOITOT!N21+Kuntoutus!N21+Vammaispalvelut!N21+Hanketoimisto!N21+Innovaatio!N21+Ensihoito!N21+Hyte!N21+'Virt. sote'!N21)</f>
        <v>0</v>
      </c>
      <c r="O21" s="6">
        <f>SUM(Kuntoutus!O21)</f>
        <v>0</v>
      </c>
      <c r="P21" s="6">
        <f>SUM(LNP!O21+MiPä!P21+IKÄ!O21+HOITOT!O21+Kuntoutus!P21+Vammaispalvelut!O21+Hanketoimisto!O21+Innovaatio!O21+Ensihoito!O21+Hyte!O21+'Virt. sote'!O21)</f>
        <v>0</v>
      </c>
      <c r="Q21" s="6">
        <f>SUM(LNP!P21+MiPä!Q21+IKÄ!P21+HOITOT!P21+Kuntoutus!Q21+Vammaispalvelut!P21+Hanketoimisto!P21+Innovaatio!P21+Ensihoito!P21+Hyte!P21+'Virt. sote'!P21)</f>
        <v>0</v>
      </c>
      <c r="R21" s="6">
        <f>SUM(LNP!Q21+MiPä!R21+IKÄ!Q21+HOITOT!Q21+Kuntoutus!R21+Vammaispalvelut!Q21+Hanketoimisto!Q21+Innovaatio!Q21+Ensihoito!Q21+Hyte!Q21+'Virt. sote'!Q21)</f>
        <v>0</v>
      </c>
    </row>
    <row r="22" spans="1:18" x14ac:dyDescent="0.3">
      <c r="A22" t="s">
        <v>32</v>
      </c>
      <c r="B22" s="6">
        <f t="shared" si="0"/>
        <v>0</v>
      </c>
      <c r="C22" s="6">
        <f>SUM(LNP!C22+MiPä!C22+MiPä!D22+IKÄ!C22+HOITOT!C22+Kuntoutus!C22+Vammaispalvelut!C22+Hanketoimisto!C22+Innovaatio!C22+Ensihoito!C22+Hyte!C22+'Virt. sote'!C22+'Jonojen purku'!C22+'Jonojen purku'!D22)</f>
        <v>0</v>
      </c>
      <c r="D22" s="6">
        <f>SUM(LNP!D22+MiPä!E22+IKÄ!D22+HOITOT!D22+Kuntoutus!D22+Vammaispalvelut!D22+Hanketoimisto!D22+Innovaatio!D22+Ensihoito!D22+Hyte!D22+'Virt. sote'!D22)</f>
        <v>0</v>
      </c>
      <c r="E22" s="6">
        <f>SUM(LNP!E22+MiPä!F22+IKÄ!E22+HOITOT!E22+Kuntoutus!E22+Vammaispalvelut!E22+Hanketoimisto!E22+Innovaatio!E22+Ensihoito!E22+Hyte!E22+'Virt. sote'!E22)</f>
        <v>0</v>
      </c>
      <c r="F22" s="6">
        <f>SUM(LNP!F22+MiPä!G22+IKÄ!F22+HOITOT!F22+Kuntoutus!F22+Vammaispalvelut!F22+Hanketoimisto!F22+Innovaatio!F22+Ensihoito!F22+Hyte!F22+'Virt. sote'!F22)</f>
        <v>0</v>
      </c>
      <c r="G22" s="6">
        <f>SUM(LNP!G22+MiPä!H22+IKÄ!G22+HOITOT!G22+Kuntoutus!G22+Vammaispalvelut!G22+Hanketoimisto!G22+Innovaatio!G22+Ensihoito!G22+Hyte!G22+'Virt. sote'!G22)</f>
        <v>0</v>
      </c>
      <c r="H22" s="6">
        <f>SUM(LNP!H22+MiPä!I22+IKÄ!H22+HOITOT!H22+Kuntoutus!H22+Vammaispalvelut!H22+Hanketoimisto!H22+Innovaatio!H22+Ensihoito!H22+Hyte!H22+'Virt. sote'!H22)</f>
        <v>0</v>
      </c>
      <c r="I22" s="6">
        <f>SUM(LNP!I22+MiPä!J22+IKÄ!I22+HOITOT!I22+Kuntoutus!I22+Vammaispalvelut!I22+Hanketoimisto!I22+Innovaatio!I22+Ensihoito!I22+Hyte!I22+'Virt. sote'!I22)</f>
        <v>0</v>
      </c>
      <c r="J22" s="6">
        <f>SUM(LNP!J22+MiPä!K22+IKÄ!J22+HOITOT!J22+Kuntoutus!J22+Vammaispalvelut!J22+Hanketoimisto!J22+Innovaatio!J22+Ensihoito!J22+Hyte!J22+'Virt. sote'!J22)</f>
        <v>0</v>
      </c>
      <c r="K22" s="6">
        <f>SUM(LNP!K22+MiPä!L22+IKÄ!K22+HOITOT!K22+Kuntoutus!K22+Vammaispalvelut!K22+Hanketoimisto!K22+Innovaatio!K22+Ensihoito!K22+Hyte!K22+'Virt. sote'!K22)</f>
        <v>0</v>
      </c>
      <c r="L22" s="6">
        <f>SUM(LNP!L22+MiPä!M22+IKÄ!L22+HOITOT!L22+Kuntoutus!L22+Vammaispalvelut!L22+Hanketoimisto!L22+Innovaatio!L22+Ensihoito!L22+Hyte!L22+'Virt. sote'!L22)</f>
        <v>0</v>
      </c>
      <c r="M22" s="6">
        <f>SUM(LNP!M22+MiPä!N22+IKÄ!M22+HOITOT!M22+Kuntoutus!M22+Vammaispalvelut!M22+Hanketoimisto!M22+Innovaatio!M22+Ensihoito!M22+Hyte!M22+'Virt. sote'!M22)</f>
        <v>0</v>
      </c>
      <c r="N22" s="6">
        <f>SUM(LNP!N22+MiPä!O22+IKÄ!N22+HOITOT!N22+Kuntoutus!N22+Vammaispalvelut!N22+Hanketoimisto!N22+Innovaatio!N22+Ensihoito!N22+Hyte!N22+'Virt. sote'!N22)</f>
        <v>0</v>
      </c>
      <c r="O22" s="6">
        <f>SUM(Kuntoutus!O22)</f>
        <v>0</v>
      </c>
      <c r="P22" s="6">
        <f>SUM(LNP!O22+MiPä!P22+IKÄ!O22+HOITOT!O22+Kuntoutus!P22+Vammaispalvelut!O22+Hanketoimisto!O22+Innovaatio!O22+Ensihoito!O22+Hyte!O22+'Virt. sote'!O22)</f>
        <v>0</v>
      </c>
      <c r="Q22" s="6">
        <f>SUM(LNP!P22+MiPä!Q22+IKÄ!P22+HOITOT!P22+Kuntoutus!Q22+Vammaispalvelut!P22+Hanketoimisto!P22+Innovaatio!P22+Ensihoito!P22+Hyte!P22+'Virt. sote'!P22)</f>
        <v>0</v>
      </c>
      <c r="R22" s="6">
        <f>SUM(LNP!Q22+MiPä!R22+IKÄ!Q22+HOITOT!Q22+Kuntoutus!R22+Vammaispalvelut!Q22+Hanketoimisto!Q22+Innovaatio!Q22+Ensihoito!Q22+Hyte!Q22+'Virt. sote'!Q22)</f>
        <v>0</v>
      </c>
    </row>
    <row r="23" spans="1:18" x14ac:dyDescent="0.3">
      <c r="A23" s="1" t="s">
        <v>33</v>
      </c>
      <c r="B23" s="5">
        <f t="shared" si="0"/>
        <v>45732.849999999991</v>
      </c>
      <c r="C23" s="5">
        <f>SUM(LNP!C23+MiPä!C23+MiPä!D23+IKÄ!C23+HOITOT!C23+Kuntoutus!C23+Vammaispalvelut!C23+Hanketoimisto!C23+Innovaatio!C23+Ensihoito!C23+Hyte!C23+'Virt. sote'!C23+'Jonojen purku'!C23+'Jonojen purku'!D23)</f>
        <v>44300.719999999994</v>
      </c>
      <c r="D23" s="5">
        <f>SUM(LNP!D23+MiPä!E23+IKÄ!D23+HOITOT!D23+Kuntoutus!D23+Vammaispalvelut!D23+Hanketoimisto!D23+Innovaatio!D23+Ensihoito!D23+Hyte!D23+'Virt. sote'!D23)</f>
        <v>0</v>
      </c>
      <c r="E23" s="5">
        <f>SUM(LNP!E23+MiPä!F23+IKÄ!E23+HOITOT!E23+Kuntoutus!E23+Vammaispalvelut!E23+Hanketoimisto!E23+Innovaatio!E23+Ensihoito!E23+Hyte!E23+'Virt. sote'!E23)</f>
        <v>0</v>
      </c>
      <c r="F23" s="5">
        <f>SUM(LNP!F23+MiPä!G23+IKÄ!F23+HOITOT!F23+Kuntoutus!F23+Vammaispalvelut!F23+Hanketoimisto!F23+Innovaatio!F23+Ensihoito!F23+Hyte!F23+'Virt. sote'!F23)</f>
        <v>0</v>
      </c>
      <c r="G23" s="5">
        <f>SUM(LNP!G23+MiPä!H23+IKÄ!G23+HOITOT!G23+Kuntoutus!G23+Vammaispalvelut!G23+Hanketoimisto!G23+Innovaatio!G23+Ensihoito!G23+Hyte!G23+'Virt. sote'!G23)</f>
        <v>0</v>
      </c>
      <c r="H23" s="5">
        <f>SUM(LNP!H23+MiPä!I23+IKÄ!H23+HOITOT!H23+Kuntoutus!H23+Vammaispalvelut!H23+Hanketoimisto!H23+Innovaatio!H23+Ensihoito!H23+Hyte!H23+'Virt. sote'!H23)</f>
        <v>1432.13</v>
      </c>
      <c r="I23" s="5">
        <f>SUM(LNP!I23+MiPä!J23+IKÄ!I23+HOITOT!I23+Kuntoutus!I23+Vammaispalvelut!I23+Hanketoimisto!I23+Innovaatio!I23+Ensihoito!I23+Hyte!I23+'Virt. sote'!I23)</f>
        <v>0</v>
      </c>
      <c r="J23" s="5">
        <f>SUM(LNP!J23+MiPä!K23+IKÄ!J23+HOITOT!J23+Kuntoutus!J23+Vammaispalvelut!J23+Hanketoimisto!J23+Innovaatio!J23+Ensihoito!J23+Hyte!J23+'Virt. sote'!J23)</f>
        <v>0</v>
      </c>
      <c r="K23" s="5">
        <f>SUM(LNP!K23+MiPä!L23+IKÄ!K23+HOITOT!K23+Kuntoutus!K23+Vammaispalvelut!K23+Hanketoimisto!K23+Innovaatio!K23+Ensihoito!K23+Hyte!K23+'Virt. sote'!K23)</f>
        <v>0</v>
      </c>
      <c r="L23" s="5">
        <f>SUM(LNP!L23+MiPä!M23+IKÄ!L23+HOITOT!L23+Kuntoutus!L23+Vammaispalvelut!L23+Hanketoimisto!L23+Innovaatio!L23+Ensihoito!L23+Hyte!L23+'Virt. sote'!L23)</f>
        <v>0</v>
      </c>
      <c r="M23" s="5">
        <f>SUM(LNP!M23+MiPä!N23+IKÄ!M23+HOITOT!M23+Kuntoutus!M23+Vammaispalvelut!M23+Hanketoimisto!M23+Innovaatio!M23+Ensihoito!M23+Hyte!M23+'Virt. sote'!M23)</f>
        <v>0</v>
      </c>
      <c r="N23" s="5">
        <f>SUM(LNP!N23+MiPä!O23+IKÄ!N23+HOITOT!N23+Kuntoutus!N23+Vammaispalvelut!N23+Hanketoimisto!N23+Innovaatio!N23+Ensihoito!N23+Hyte!N23+'Virt. sote'!N23)</f>
        <v>0</v>
      </c>
      <c r="O23" s="5">
        <f>SUM(LNP!O23+MiPä!P23+IKÄ!O23+HOITOT!O23+Kuntoutus!O23+Vammaispalvelut!O23+Hanketoimisto!O23+Innovaatio!O23+Ensihoito!O23+Hyte!O23+'Virt. sote'!O23)</f>
        <v>0</v>
      </c>
      <c r="P23" s="5">
        <f>SUM(LNP!P23+MiPä!Q23+IKÄ!P23+HOITOT!P23+Kuntoutus!P23+Vammaispalvelut!P23+Hanketoimisto!P23+Innovaatio!P23+Ensihoito!P23+Hyte!P23+'Virt. sote'!P23)</f>
        <v>0</v>
      </c>
      <c r="Q23" s="5">
        <f>SUM(LNP!Q23+MiPä!R23+IKÄ!Q23+HOITOT!Q23+Kuntoutus!Q23+Vammaispalvelut!Q23+Hanketoimisto!Q23+Innovaatio!Q23+Ensihoito!Q23+Hyte!Q23+'Virt. sote'!Q23)</f>
        <v>0</v>
      </c>
      <c r="R23" s="5">
        <f>SUM(LNP!Q23+MiPä!R23+IKÄ!Q23+HOITOT!Q23+Kuntoutus!R23+Vammaispalvelut!Q23+Hanketoimisto!Q23+Innovaatio!Q23+Ensihoito!Q23+Hyte!Q23+'Virt. sote'!Q23)</f>
        <v>0</v>
      </c>
    </row>
    <row r="24" spans="1:18" s="1" customFormat="1" ht="24.6" customHeight="1" x14ac:dyDescent="0.3">
      <c r="A24" s="1" t="s">
        <v>34</v>
      </c>
      <c r="B24" s="5">
        <f>B8+B11+B16+B17+B18+B19-B23</f>
        <v>15169627.279999996</v>
      </c>
      <c r="C24" s="5">
        <f>C8+C11+C16+C17+C18+C19-C23</f>
        <v>9705303.129999999</v>
      </c>
      <c r="D24" s="5">
        <f t="shared" ref="D24:R24" si="6">D8+D11+D16+D17+D18+D19-D23</f>
        <v>6114.83</v>
      </c>
      <c r="E24" s="5">
        <f t="shared" si="6"/>
        <v>162328.07000000004</v>
      </c>
      <c r="F24" s="5">
        <f t="shared" si="6"/>
        <v>408373.14999999997</v>
      </c>
      <c r="G24" s="5">
        <f t="shared" si="6"/>
        <v>422462.41000000003</v>
      </c>
      <c r="H24" s="5">
        <f t="shared" si="6"/>
        <v>593807.43999999994</v>
      </c>
      <c r="I24" s="5">
        <f t="shared" si="6"/>
        <v>300818.99</v>
      </c>
      <c r="J24" s="5">
        <f t="shared" si="6"/>
        <v>334637.93</v>
      </c>
      <c r="K24" s="5">
        <f t="shared" si="6"/>
        <v>41699.71</v>
      </c>
      <c r="L24" s="5">
        <f t="shared" si="6"/>
        <v>84547.99</v>
      </c>
      <c r="M24" s="5">
        <f t="shared" si="6"/>
        <v>2024820.0399999996</v>
      </c>
      <c r="N24" s="5">
        <f t="shared" si="6"/>
        <v>545013.09</v>
      </c>
      <c r="O24" s="5">
        <f t="shared" si="6"/>
        <v>26913.1</v>
      </c>
      <c r="P24" s="5">
        <f t="shared" si="6"/>
        <v>156910.85999999999</v>
      </c>
      <c r="Q24" s="5">
        <f t="shared" si="6"/>
        <v>337335.54</v>
      </c>
      <c r="R24" s="5">
        <f t="shared" si="6"/>
        <v>18541</v>
      </c>
    </row>
    <row r="25" spans="1:18" x14ac:dyDescent="0.3">
      <c r="A25" t="s">
        <v>43</v>
      </c>
      <c r="B25" s="6">
        <f>SUM(C25)</f>
        <v>129254.04000000001</v>
      </c>
      <c r="C25" s="6">
        <f>SUM(MiPä!D25)</f>
        <v>129254.04000000001</v>
      </c>
    </row>
    <row r="26" spans="1:18" x14ac:dyDescent="0.3">
      <c r="A26" s="1" t="s">
        <v>66</v>
      </c>
      <c r="B26" s="5">
        <f>SUM(B24-B25)</f>
        <v>15040373.239999996</v>
      </c>
      <c r="C26" s="5">
        <f>SUM(C24-C25)</f>
        <v>9576049.0899999999</v>
      </c>
    </row>
    <row r="28" spans="1:18" x14ac:dyDescent="0.3">
      <c r="A28" s="1" t="s">
        <v>67</v>
      </c>
      <c r="B28" s="19">
        <f>SUM(LNP!B24)</f>
        <v>3114395.5</v>
      </c>
      <c r="C28" s="18"/>
      <c r="D28" s="6"/>
    </row>
    <row r="29" spans="1:18" x14ac:dyDescent="0.3">
      <c r="A29" s="1" t="s">
        <v>68</v>
      </c>
      <c r="B29" s="19">
        <f>SUM(B26-LNP!B24)</f>
        <v>11925977.739999996</v>
      </c>
      <c r="C29" s="18"/>
      <c r="E29" s="6"/>
    </row>
    <row r="30" spans="1:18" x14ac:dyDescent="0.3">
      <c r="B30" s="18"/>
      <c r="C30" s="18"/>
      <c r="G30" s="6"/>
    </row>
    <row r="31" spans="1:18" x14ac:dyDescent="0.3">
      <c r="A31" s="1" t="s">
        <v>35</v>
      </c>
      <c r="B31" s="17">
        <v>376587.73</v>
      </c>
      <c r="C31" s="18"/>
      <c r="H31" s="6"/>
    </row>
    <row r="32" spans="1:18" x14ac:dyDescent="0.3">
      <c r="A32" s="1" t="s">
        <v>36</v>
      </c>
      <c r="B32" s="17">
        <v>1353522.52</v>
      </c>
      <c r="C32" s="18"/>
      <c r="E32" s="6"/>
      <c r="H32" s="6"/>
    </row>
    <row r="33" spans="1:8" x14ac:dyDescent="0.3">
      <c r="A33" s="1" t="s">
        <v>37</v>
      </c>
      <c r="B33" s="6">
        <v>1943344.0799999998</v>
      </c>
    </row>
    <row r="34" spans="1:8" x14ac:dyDescent="0.3">
      <c r="A34" s="1" t="s">
        <v>38</v>
      </c>
      <c r="B34" s="6">
        <v>1969334.0299999996</v>
      </c>
      <c r="H34" s="6"/>
    </row>
    <row r="35" spans="1:8" x14ac:dyDescent="0.3">
      <c r="A35" s="1" t="s">
        <v>69</v>
      </c>
      <c r="B35" s="6">
        <v>3074927.66</v>
      </c>
    </row>
    <row r="36" spans="1:8" x14ac:dyDescent="0.3">
      <c r="A36" s="1" t="s">
        <v>84</v>
      </c>
      <c r="B36" s="6">
        <f>SUM([1]LNP!B32+[1]MiPä!B32+[1]IKÄ!B33+[1]HOITOT!B33+[1]Kuntoutus!B32+[1]Vammaispalvelut!B29+[1]Hanketoimisto!B29+[1]Innovaatio!B29+[1]Ensihoito!B29+[1]Hyte!B29+'[1]Virt. sote'!B29+'[1]Jonojen purku'!B27)</f>
        <v>2370165.1300000004</v>
      </c>
    </row>
    <row r="37" spans="1:8" x14ac:dyDescent="0.3">
      <c r="A37" s="1" t="s">
        <v>85</v>
      </c>
      <c r="B37" s="6">
        <v>3952492.1</v>
      </c>
    </row>
    <row r="38" spans="1:8" x14ac:dyDescent="0.3">
      <c r="A38" s="1"/>
      <c r="B38" s="14"/>
    </row>
    <row r="39" spans="1:8" x14ac:dyDescent="0.3">
      <c r="A39" s="1" t="s">
        <v>39</v>
      </c>
      <c r="B39" s="5">
        <f>SUM(B31:B38)</f>
        <v>15040373.25</v>
      </c>
    </row>
    <row r="40" spans="1:8" x14ac:dyDescent="0.3">
      <c r="A40" s="1"/>
      <c r="B40" s="6"/>
    </row>
    <row r="41" spans="1:8" x14ac:dyDescent="0.3">
      <c r="A41" s="20" t="s">
        <v>70</v>
      </c>
      <c r="B41" s="6"/>
    </row>
    <row r="42" spans="1:8" x14ac:dyDescent="0.3">
      <c r="A42" s="20" t="s">
        <v>71</v>
      </c>
    </row>
    <row r="43" spans="1:8" x14ac:dyDescent="0.3">
      <c r="A43" s="20" t="s">
        <v>72</v>
      </c>
    </row>
    <row r="44" spans="1:8" x14ac:dyDescent="0.3">
      <c r="A44" s="20" t="s">
        <v>73</v>
      </c>
    </row>
    <row r="45" spans="1:8" x14ac:dyDescent="0.3">
      <c r="A45" s="20" t="s">
        <v>74</v>
      </c>
    </row>
    <row r="46" spans="1:8" x14ac:dyDescent="0.3">
      <c r="A46" s="20" t="s">
        <v>75</v>
      </c>
      <c r="B46" s="6"/>
    </row>
    <row r="47" spans="1:8" x14ac:dyDescent="0.3">
      <c r="A47" s="20" t="s">
        <v>76</v>
      </c>
      <c r="B47" s="6"/>
    </row>
    <row r="48" spans="1:8" x14ac:dyDescent="0.3">
      <c r="A48" s="20" t="s">
        <v>77</v>
      </c>
      <c r="B48" s="6"/>
    </row>
    <row r="49" spans="1:2" x14ac:dyDescent="0.3">
      <c r="A49" s="20" t="s">
        <v>78</v>
      </c>
      <c r="B49" s="5"/>
    </row>
    <row r="50" spans="1:2" x14ac:dyDescent="0.3">
      <c r="A50" s="20" t="s">
        <v>79</v>
      </c>
      <c r="B50" s="6"/>
    </row>
    <row r="51" spans="1:2" x14ac:dyDescent="0.3">
      <c r="A51" s="20" t="s">
        <v>80</v>
      </c>
    </row>
    <row r="52" spans="1:2" x14ac:dyDescent="0.3">
      <c r="A52" s="20" t="s">
        <v>81</v>
      </c>
    </row>
    <row r="53" spans="1:2" x14ac:dyDescent="0.3">
      <c r="A53" s="20" t="s">
        <v>82</v>
      </c>
    </row>
  </sheetData>
  <dataConsolidate>
    <dataRefs count="1">
      <dataRef ref="J12" sheet="YHTEENSÄ"/>
    </dataRefs>
  </dataConsolidate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>
    <pageSetUpPr fitToPage="1"/>
  </sheetPr>
  <dimension ref="A1:R50"/>
  <sheetViews>
    <sheetView zoomScale="70" zoomScaleNormal="70" workbookViewId="0">
      <pane xSplit="1" topLeftCell="B1" activePane="topRight" state="frozen"/>
      <selection pane="topRight" activeCell="B76" sqref="B76"/>
    </sheetView>
  </sheetViews>
  <sheetFormatPr defaultRowHeight="14.4" x14ac:dyDescent="0.3"/>
  <cols>
    <col min="1" max="1" width="29.44140625" customWidth="1"/>
    <col min="2" max="18" width="13.5546875" style="3" customWidth="1"/>
  </cols>
  <sheetData>
    <row r="1" spans="1:18" x14ac:dyDescent="0.3">
      <c r="A1" t="s">
        <v>0</v>
      </c>
    </row>
    <row r="3" spans="1:18" ht="18" x14ac:dyDescent="0.35">
      <c r="A3" s="2" t="s">
        <v>86</v>
      </c>
    </row>
    <row r="5" spans="1:18" ht="18" x14ac:dyDescent="0.35">
      <c r="A5" s="2" t="s">
        <v>40</v>
      </c>
    </row>
    <row r="6" spans="1:18" ht="13.95" customHeight="1" x14ac:dyDescent="0.35">
      <c r="A6" s="2"/>
      <c r="C6" s="3" t="s">
        <v>41</v>
      </c>
      <c r="D6" s="3" t="s">
        <v>42</v>
      </c>
    </row>
    <row r="7" spans="1:18" s="1" customFormat="1" x14ac:dyDescent="0.3">
      <c r="B7" s="4" t="s">
        <v>3</v>
      </c>
      <c r="C7" s="4" t="s">
        <v>83</v>
      </c>
      <c r="D7" s="4" t="s">
        <v>83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</row>
    <row r="8" spans="1:18" s="1" customFormat="1" ht="20.7" customHeight="1" x14ac:dyDescent="0.3">
      <c r="A8" s="1" t="s">
        <v>18</v>
      </c>
      <c r="B8" s="5">
        <f t="shared" ref="B8:B19" si="0">SUM(C8:R8)</f>
        <v>2107485.42</v>
      </c>
      <c r="C8" s="5">
        <f>SUM(C9:C10)</f>
        <v>1248265.9100000001</v>
      </c>
      <c r="D8" s="5">
        <f>SUM(D9:D10)</f>
        <v>284616.51</v>
      </c>
      <c r="E8" s="15">
        <f t="shared" ref="E8:R8" si="1">SUM(E9:E10)</f>
        <v>0</v>
      </c>
      <c r="F8" s="15">
        <f t="shared" si="1"/>
        <v>14161.179999999998</v>
      </c>
      <c r="G8" s="5">
        <f t="shared" si="1"/>
        <v>21779.78</v>
      </c>
      <c r="H8" s="5">
        <f t="shared" si="1"/>
        <v>52805.770000000004</v>
      </c>
      <c r="I8" s="5">
        <f t="shared" si="1"/>
        <v>0</v>
      </c>
      <c r="J8" s="5">
        <f t="shared" si="1"/>
        <v>31866.39</v>
      </c>
      <c r="K8" s="5">
        <f t="shared" si="1"/>
        <v>115097.16999999998</v>
      </c>
      <c r="L8" s="5">
        <f t="shared" si="1"/>
        <v>0</v>
      </c>
      <c r="M8" s="5">
        <f t="shared" si="1"/>
        <v>10112.58</v>
      </c>
      <c r="N8" s="5">
        <f t="shared" si="1"/>
        <v>217997.52000000002</v>
      </c>
      <c r="O8" s="5">
        <f t="shared" si="1"/>
        <v>98237.64</v>
      </c>
      <c r="P8" s="5">
        <f t="shared" si="1"/>
        <v>8276.26</v>
      </c>
      <c r="Q8" s="5">
        <f t="shared" ref="Q8" si="2">SUM(Q9:Q10)</f>
        <v>4268.71</v>
      </c>
      <c r="R8" s="5">
        <f t="shared" si="1"/>
        <v>0</v>
      </c>
    </row>
    <row r="9" spans="1:18" x14ac:dyDescent="0.3">
      <c r="A9" t="s">
        <v>19</v>
      </c>
      <c r="B9" s="6">
        <f t="shared" si="0"/>
        <v>2047319.35</v>
      </c>
      <c r="C9" s="6">
        <f>526186.55+722079.36</f>
        <v>1248265.9100000001</v>
      </c>
      <c r="D9" s="6">
        <v>284616.51</v>
      </c>
      <c r="E9" s="11"/>
      <c r="F9" s="11">
        <v>14161.179999999998</v>
      </c>
      <c r="G9" s="6">
        <v>21779.78</v>
      </c>
      <c r="H9" s="6">
        <v>52805.770000000004</v>
      </c>
      <c r="I9" s="6"/>
      <c r="J9" s="6">
        <v>18299.88</v>
      </c>
      <c r="K9" s="6">
        <v>81246.209999999992</v>
      </c>
      <c r="L9" s="6"/>
      <c r="M9" s="6">
        <v>10112.58</v>
      </c>
      <c r="N9" s="11">
        <v>217997.52000000002</v>
      </c>
      <c r="O9" s="6">
        <v>85489.04</v>
      </c>
      <c r="P9" s="6">
        <v>8276.26</v>
      </c>
      <c r="Q9" s="6">
        <v>4268.71</v>
      </c>
      <c r="R9" s="6"/>
    </row>
    <row r="10" spans="1:18" x14ac:dyDescent="0.3">
      <c r="A10" t="s">
        <v>20</v>
      </c>
      <c r="B10" s="6">
        <f t="shared" si="0"/>
        <v>60166.07</v>
      </c>
      <c r="C10" s="6"/>
      <c r="D10" s="6"/>
      <c r="E10" s="11"/>
      <c r="F10" s="11"/>
      <c r="G10" s="6"/>
      <c r="H10" s="6"/>
      <c r="I10" s="6"/>
      <c r="J10" s="6">
        <v>13566.51</v>
      </c>
      <c r="K10" s="6">
        <f>32661.84+1189.12</f>
        <v>33850.959999999999</v>
      </c>
      <c r="L10" s="6"/>
      <c r="M10" s="6"/>
      <c r="N10" s="11"/>
      <c r="O10" s="6">
        <v>12748.6</v>
      </c>
      <c r="P10" s="6"/>
      <c r="Q10" s="6"/>
      <c r="R10" s="6"/>
    </row>
    <row r="11" spans="1:18" s="1" customFormat="1" ht="20.399999999999999" customHeight="1" x14ac:dyDescent="0.3">
      <c r="A11" s="1" t="s">
        <v>21</v>
      </c>
      <c r="B11" s="5">
        <f t="shared" si="0"/>
        <v>199365.16999999998</v>
      </c>
      <c r="C11" s="5">
        <f>SUM(C12:C15)</f>
        <v>167470.66999999998</v>
      </c>
      <c r="D11" s="5">
        <f>SUM(D12:D15)</f>
        <v>17688.169999999998</v>
      </c>
      <c r="E11" s="15">
        <f t="shared" ref="E11:R11" si="3">SUM(E12:E15)</f>
        <v>0</v>
      </c>
      <c r="F11" s="15">
        <f t="shared" si="3"/>
        <v>862.53</v>
      </c>
      <c r="G11" s="5">
        <f t="shared" si="3"/>
        <v>542.55999999999995</v>
      </c>
      <c r="H11" s="5">
        <f t="shared" si="3"/>
        <v>1144.8899999999999</v>
      </c>
      <c r="I11" s="5">
        <f t="shared" si="3"/>
        <v>0</v>
      </c>
      <c r="J11" s="5">
        <f t="shared" si="3"/>
        <v>191.27</v>
      </c>
      <c r="K11" s="5">
        <f t="shared" si="3"/>
        <v>6481.5099999999993</v>
      </c>
      <c r="L11" s="5">
        <f t="shared" si="3"/>
        <v>0</v>
      </c>
      <c r="M11" s="5">
        <f t="shared" si="3"/>
        <v>0</v>
      </c>
      <c r="N11" s="15">
        <f t="shared" si="3"/>
        <v>1944.8200000000002</v>
      </c>
      <c r="O11" s="5">
        <f t="shared" si="3"/>
        <v>2717.09</v>
      </c>
      <c r="P11" s="5">
        <f t="shared" si="3"/>
        <v>248</v>
      </c>
      <c r="Q11" s="5">
        <f t="shared" ref="Q11" si="4">SUM(Q12:Q15)</f>
        <v>73.66</v>
      </c>
      <c r="R11" s="5">
        <f t="shared" si="3"/>
        <v>0</v>
      </c>
    </row>
    <row r="12" spans="1:18" x14ac:dyDescent="0.3">
      <c r="A12" t="s">
        <v>22</v>
      </c>
      <c r="B12" s="6">
        <f t="shared" si="0"/>
        <v>155317.80999999997</v>
      </c>
      <c r="C12" s="6">
        <f>93733.8+39320</f>
        <v>133053.79999999999</v>
      </c>
      <c r="D12" s="6">
        <v>13758.06</v>
      </c>
      <c r="E12" s="11"/>
      <c r="F12" s="11">
        <v>566.68000000000006</v>
      </c>
      <c r="G12" s="6">
        <f>272.56+270</f>
        <v>542.55999999999995</v>
      </c>
      <c r="H12" s="6">
        <v>475</v>
      </c>
      <c r="I12" s="6"/>
      <c r="J12" s="6">
        <v>191.27</v>
      </c>
      <c r="K12" s="6">
        <f>3678.38+1989.19</f>
        <v>5667.57</v>
      </c>
      <c r="L12" s="6"/>
      <c r="M12" s="6"/>
      <c r="N12" s="11">
        <v>198.4</v>
      </c>
      <c r="O12" s="6">
        <v>616.47</v>
      </c>
      <c r="P12" s="6">
        <v>248</v>
      </c>
      <c r="Q12" s="6"/>
      <c r="R12" s="6"/>
    </row>
    <row r="13" spans="1:18" x14ac:dyDescent="0.3">
      <c r="A13" t="s">
        <v>23</v>
      </c>
      <c r="B13" s="6">
        <f t="shared" si="0"/>
        <v>17625.670000000002</v>
      </c>
      <c r="C13" s="6">
        <f>1808.33+14210.3</f>
        <v>16018.63</v>
      </c>
      <c r="D13" s="6">
        <v>766.78</v>
      </c>
      <c r="E13" s="11"/>
      <c r="F13" s="11"/>
      <c r="G13" s="6"/>
      <c r="H13" s="6">
        <v>83.6</v>
      </c>
      <c r="I13" s="6"/>
      <c r="J13" s="6"/>
      <c r="K13" s="6">
        <v>540.15</v>
      </c>
      <c r="L13" s="6"/>
      <c r="M13" s="6"/>
      <c r="N13" s="11">
        <v>135.54</v>
      </c>
      <c r="O13" s="6">
        <v>7.31</v>
      </c>
      <c r="P13" s="6"/>
      <c r="Q13" s="6">
        <v>73.66</v>
      </c>
      <c r="R13" s="6"/>
    </row>
    <row r="14" spans="1:18" x14ac:dyDescent="0.3">
      <c r="A14" t="s">
        <v>24</v>
      </c>
      <c r="B14" s="6">
        <f t="shared" si="0"/>
        <v>8425.56</v>
      </c>
      <c r="C14" s="6">
        <f>3538.06+2537.5</f>
        <v>6075.5599999999995</v>
      </c>
      <c r="D14" s="6">
        <v>600</v>
      </c>
      <c r="E14" s="11"/>
      <c r="F14" s="9"/>
      <c r="G14" s="6"/>
      <c r="H14" s="6"/>
      <c r="I14" s="6"/>
      <c r="J14" s="6"/>
      <c r="K14" s="6">
        <v>250</v>
      </c>
      <c r="L14" s="6"/>
      <c r="M14" s="6"/>
      <c r="N14" s="11">
        <v>1500</v>
      </c>
      <c r="O14" s="6"/>
      <c r="P14" s="6"/>
      <c r="Q14" s="6"/>
      <c r="R14" s="6"/>
    </row>
    <row r="15" spans="1:18" x14ac:dyDescent="0.3">
      <c r="A15" t="s">
        <v>25</v>
      </c>
      <c r="B15" s="6">
        <f t="shared" si="0"/>
        <v>17996.13</v>
      </c>
      <c r="C15" s="6">
        <f>3077.3+9245.38</f>
        <v>12322.68</v>
      </c>
      <c r="D15" s="6">
        <v>2563.33</v>
      </c>
      <c r="E15" s="11"/>
      <c r="F15" s="11">
        <v>295.84999999999997</v>
      </c>
      <c r="G15" s="6"/>
      <c r="H15" s="11">
        <v>586.29</v>
      </c>
      <c r="I15" s="6"/>
      <c r="J15" s="6"/>
      <c r="K15" s="6">
        <v>23.79</v>
      </c>
      <c r="L15" s="6"/>
      <c r="M15" s="6"/>
      <c r="N15" s="11">
        <v>110.88</v>
      </c>
      <c r="O15" s="6">
        <v>2093.31</v>
      </c>
      <c r="P15" s="6"/>
      <c r="Q15" s="6"/>
      <c r="R15" s="6"/>
    </row>
    <row r="16" spans="1:18" s="1" customFormat="1" ht="18.899999999999999" customHeight="1" x14ac:dyDescent="0.3">
      <c r="A16" s="1" t="s">
        <v>26</v>
      </c>
      <c r="B16" s="5">
        <f t="shared" si="0"/>
        <v>5279.97</v>
      </c>
      <c r="C16" s="5">
        <f>2899.62+1969.46</f>
        <v>4869.08</v>
      </c>
      <c r="D16" s="5">
        <v>410.89</v>
      </c>
      <c r="E16" s="15"/>
      <c r="F16" s="12"/>
      <c r="G16" s="5"/>
      <c r="H16" s="5"/>
      <c r="I16" s="5"/>
      <c r="J16" s="5"/>
      <c r="K16" s="5"/>
      <c r="L16" s="5"/>
      <c r="M16" s="5"/>
      <c r="N16" s="15"/>
      <c r="O16" s="5"/>
      <c r="P16" s="5"/>
      <c r="Q16" s="5"/>
      <c r="R16" s="5"/>
    </row>
    <row r="17" spans="1:18" s="1" customFormat="1" ht="18.899999999999999" customHeight="1" x14ac:dyDescent="0.3">
      <c r="A17" s="1" t="s">
        <v>27</v>
      </c>
      <c r="B17" s="5">
        <f t="shared" si="0"/>
        <v>78745.159999999989</v>
      </c>
      <c r="C17" s="5">
        <f>26072.94+24750.45</f>
        <v>50823.39</v>
      </c>
      <c r="D17" s="5">
        <v>16587.400000000001</v>
      </c>
      <c r="E17" s="15"/>
      <c r="F17" s="15">
        <v>59.249999999999993</v>
      </c>
      <c r="G17" s="5">
        <v>258.93</v>
      </c>
      <c r="H17" s="5">
        <v>2448.02</v>
      </c>
      <c r="I17" s="5"/>
      <c r="J17" s="5"/>
      <c r="K17" s="5">
        <v>5992.65</v>
      </c>
      <c r="L17" s="5"/>
      <c r="M17" s="5"/>
      <c r="N17" s="5">
        <v>1991.0400000000002</v>
      </c>
      <c r="O17" s="5">
        <v>584.48</v>
      </c>
      <c r="P17" s="5"/>
      <c r="Q17" s="5"/>
      <c r="R17" s="5"/>
    </row>
    <row r="18" spans="1:18" s="1" customFormat="1" ht="18.899999999999999" customHeight="1" x14ac:dyDescent="0.3">
      <c r="A18" s="1" t="s">
        <v>28</v>
      </c>
      <c r="B18" s="5">
        <f t="shared" si="0"/>
        <v>22007.959999999995</v>
      </c>
      <c r="C18" s="5">
        <f>8220.61+163.5</f>
        <v>8384.11</v>
      </c>
      <c r="D18" s="5">
        <v>11085.3</v>
      </c>
      <c r="E18" s="15"/>
      <c r="F18" s="12"/>
      <c r="G18" s="5"/>
      <c r="H18" s="5">
        <v>113.53</v>
      </c>
      <c r="I18" s="5"/>
      <c r="J18" s="5"/>
      <c r="K18" s="5">
        <v>2353.87</v>
      </c>
      <c r="L18" s="5"/>
      <c r="M18" s="5"/>
      <c r="N18" s="5">
        <v>37.17</v>
      </c>
      <c r="O18" s="5">
        <v>33.979999999999997</v>
      </c>
      <c r="P18" s="5"/>
      <c r="Q18" s="5"/>
      <c r="R18" s="5"/>
    </row>
    <row r="19" spans="1:18" s="1" customFormat="1" ht="18.899999999999999" customHeight="1" x14ac:dyDescent="0.3">
      <c r="A19" s="1" t="s">
        <v>29</v>
      </c>
      <c r="B19" s="5">
        <f t="shared" si="0"/>
        <v>3222.9</v>
      </c>
      <c r="C19" s="5">
        <f>SUM(C20:C22)</f>
        <v>0</v>
      </c>
      <c r="D19" s="5">
        <f>SUM(D20:D22)</f>
        <v>3222.9</v>
      </c>
      <c r="E19" s="15">
        <f t="shared" ref="E19:R19" si="5">SUM(E20:E22)</f>
        <v>0</v>
      </c>
      <c r="F19" s="15">
        <f t="shared" si="5"/>
        <v>0</v>
      </c>
      <c r="G19" s="5">
        <f t="shared" si="5"/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 t="shared" si="5"/>
        <v>0</v>
      </c>
      <c r="L19" s="5">
        <f t="shared" si="5"/>
        <v>0</v>
      </c>
      <c r="M19" s="5">
        <f t="shared" si="5"/>
        <v>0</v>
      </c>
      <c r="N19" s="5">
        <f t="shared" si="5"/>
        <v>0</v>
      </c>
      <c r="O19" s="5">
        <f t="shared" si="5"/>
        <v>0</v>
      </c>
      <c r="P19" s="5">
        <f t="shared" si="5"/>
        <v>0</v>
      </c>
      <c r="Q19" s="5">
        <f t="shared" ref="Q19" si="6">SUM(Q20:Q22)</f>
        <v>0</v>
      </c>
      <c r="R19" s="5">
        <f t="shared" si="5"/>
        <v>0</v>
      </c>
    </row>
    <row r="20" spans="1:18" x14ac:dyDescent="0.3">
      <c r="A20" t="s">
        <v>30</v>
      </c>
      <c r="B20" s="6"/>
      <c r="C20" s="6"/>
      <c r="D20" s="6"/>
      <c r="E20" s="11"/>
      <c r="F20" s="1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A21" t="s">
        <v>31</v>
      </c>
      <c r="B21" s="6"/>
      <c r="C21" s="6"/>
      <c r="D21" s="6">
        <v>3222.9</v>
      </c>
      <c r="E21" s="11"/>
      <c r="F21" s="1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">
      <c r="A22" t="s">
        <v>32</v>
      </c>
      <c r="B22" s="6"/>
      <c r="C22" s="6"/>
      <c r="D22" s="6"/>
      <c r="E22" s="11"/>
      <c r="F22" s="1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">
      <c r="A23" s="1" t="s">
        <v>33</v>
      </c>
      <c r="B23" s="5">
        <f>SUM(C23:R23)</f>
        <v>2191.1999999999998</v>
      </c>
      <c r="C23" s="6">
        <v>0.64</v>
      </c>
      <c r="D23" s="6">
        <v>2190.56</v>
      </c>
      <c r="E23" s="11"/>
      <c r="F23" s="1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s="1" customFormat="1" ht="24.6" customHeight="1" x14ac:dyDescent="0.3">
      <c r="A24" s="1" t="s">
        <v>34</v>
      </c>
      <c r="B24" s="5">
        <f>B8+B11+B16+B17+B18+B19-B23</f>
        <v>2413915.38</v>
      </c>
      <c r="C24" s="5">
        <f>C8+C11+C16+C17+C18+C19-C23</f>
        <v>1479812.5200000003</v>
      </c>
      <c r="D24" s="5">
        <f>D8+D11+D16+D17+D18+D19-D23</f>
        <v>331420.61000000004</v>
      </c>
      <c r="E24" s="5">
        <f t="shared" ref="E24:R24" si="7">E8+E11+E16+E17+E18+E19-E23</f>
        <v>0</v>
      </c>
      <c r="F24" s="5">
        <f t="shared" si="7"/>
        <v>15082.96</v>
      </c>
      <c r="G24" s="5">
        <f t="shared" si="7"/>
        <v>22581.27</v>
      </c>
      <c r="H24" s="5">
        <f t="shared" si="7"/>
        <v>56512.21</v>
      </c>
      <c r="I24" s="5">
        <f t="shared" si="7"/>
        <v>0</v>
      </c>
      <c r="J24" s="5">
        <f t="shared" si="7"/>
        <v>32057.66</v>
      </c>
      <c r="K24" s="5">
        <f t="shared" si="7"/>
        <v>129925.19999999997</v>
      </c>
      <c r="L24" s="5">
        <f t="shared" si="7"/>
        <v>0</v>
      </c>
      <c r="M24" s="5">
        <f t="shared" si="7"/>
        <v>10112.58</v>
      </c>
      <c r="N24" s="5">
        <f t="shared" si="7"/>
        <v>221970.55000000005</v>
      </c>
      <c r="O24" s="5">
        <f t="shared" si="7"/>
        <v>101573.18999999999</v>
      </c>
      <c r="P24" s="5">
        <f t="shared" si="7"/>
        <v>8524.26</v>
      </c>
      <c r="Q24" s="5">
        <f t="shared" si="7"/>
        <v>4342.37</v>
      </c>
      <c r="R24" s="5">
        <f t="shared" si="7"/>
        <v>0</v>
      </c>
    </row>
    <row r="25" spans="1:18" x14ac:dyDescent="0.3">
      <c r="A25" t="s">
        <v>43</v>
      </c>
      <c r="B25" s="6">
        <f>D25</f>
        <v>129254.04000000001</v>
      </c>
      <c r="D25" s="6">
        <v>129254.04000000001</v>
      </c>
      <c r="F25" s="16"/>
    </row>
    <row r="26" spans="1:18" x14ac:dyDescent="0.3">
      <c r="A26" s="1" t="s">
        <v>44</v>
      </c>
      <c r="B26" s="5">
        <f>SUM(B24-D25)</f>
        <v>2284661.34</v>
      </c>
      <c r="D26" s="5">
        <f>SUM(D24-D25)</f>
        <v>202166.57000000004</v>
      </c>
    </row>
    <row r="28" spans="1:18" x14ac:dyDescent="0.3">
      <c r="A28" s="1" t="s">
        <v>35</v>
      </c>
      <c r="B28" s="6">
        <v>85109.17</v>
      </c>
      <c r="C28" s="10"/>
      <c r="D28" s="10"/>
    </row>
    <row r="29" spans="1:18" x14ac:dyDescent="0.3">
      <c r="A29" s="1" t="s">
        <v>36</v>
      </c>
      <c r="B29" s="6">
        <v>329201.28000000003</v>
      </c>
    </row>
    <row r="30" spans="1:18" x14ac:dyDescent="0.3">
      <c r="A30" s="1" t="s">
        <v>37</v>
      </c>
      <c r="B30" s="6">
        <v>372681.16</v>
      </c>
    </row>
    <row r="31" spans="1:18" x14ac:dyDescent="0.3">
      <c r="A31" s="1" t="s">
        <v>38</v>
      </c>
      <c r="B31" s="6">
        <v>343054.48999999993</v>
      </c>
    </row>
    <row r="32" spans="1:18" x14ac:dyDescent="0.3">
      <c r="A32" s="1" t="s">
        <v>69</v>
      </c>
      <c r="B32" s="6">
        <v>336890.98</v>
      </c>
      <c r="R32"/>
    </row>
    <row r="33" spans="1:18" x14ac:dyDescent="0.3">
      <c r="A33" s="1" t="s">
        <v>84</v>
      </c>
      <c r="B33" s="6">
        <v>276455.53000000003</v>
      </c>
      <c r="R33"/>
    </row>
    <row r="34" spans="1:18" x14ac:dyDescent="0.3">
      <c r="A34" s="1" t="s">
        <v>85</v>
      </c>
      <c r="B34" s="6">
        <v>541268.73</v>
      </c>
    </row>
    <row r="35" spans="1:18" x14ac:dyDescent="0.3">
      <c r="A35" s="1"/>
      <c r="B35" s="6"/>
    </row>
    <row r="36" spans="1:18" x14ac:dyDescent="0.3">
      <c r="A36" s="1" t="s">
        <v>39</v>
      </c>
      <c r="B36" s="6">
        <f>SUM(B28:B35)</f>
        <v>2284661.34</v>
      </c>
      <c r="C36" s="6"/>
      <c r="D36" s="6"/>
      <c r="F36" s="11"/>
    </row>
    <row r="37" spans="1:18" x14ac:dyDescent="0.3">
      <c r="F37" s="11"/>
    </row>
    <row r="38" spans="1:18" x14ac:dyDescent="0.3">
      <c r="F38" s="9"/>
    </row>
    <row r="39" spans="1:18" x14ac:dyDescent="0.3">
      <c r="F39" s="9"/>
    </row>
    <row r="40" spans="1:18" x14ac:dyDescent="0.3">
      <c r="F40" s="12"/>
    </row>
    <row r="41" spans="1:18" x14ac:dyDescent="0.3">
      <c r="F41" s="15"/>
    </row>
    <row r="42" spans="1:18" x14ac:dyDescent="0.3">
      <c r="F42" s="12"/>
    </row>
    <row r="43" spans="1:18" x14ac:dyDescent="0.3">
      <c r="F43" s="12"/>
    </row>
    <row r="44" spans="1:18" x14ac:dyDescent="0.3">
      <c r="F44" s="9"/>
    </row>
    <row r="45" spans="1:18" x14ac:dyDescent="0.3">
      <c r="F45" s="9"/>
    </row>
    <row r="46" spans="1:18" x14ac:dyDescent="0.3">
      <c r="F46" s="9"/>
    </row>
    <row r="47" spans="1:18" x14ac:dyDescent="0.3">
      <c r="F47" s="9"/>
    </row>
    <row r="48" spans="1:18" x14ac:dyDescent="0.3">
      <c r="F48" s="12"/>
    </row>
    <row r="49" spans="6:6" x14ac:dyDescent="0.3">
      <c r="F49" s="13"/>
    </row>
    <row r="50" spans="6:6" x14ac:dyDescent="0.3">
      <c r="F50" s="9"/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pageSetUpPr fitToPage="1"/>
  </sheetPr>
  <dimension ref="A1:S36"/>
  <sheetViews>
    <sheetView zoomScale="70" zoomScaleNormal="70" workbookViewId="0">
      <pane xSplit="1" topLeftCell="B1" activePane="topRight" state="frozen"/>
      <selection activeCell="A4" sqref="A4"/>
      <selection pane="topRight" activeCell="D35" sqref="D35"/>
    </sheetView>
  </sheetViews>
  <sheetFormatPr defaultRowHeight="14.4" x14ac:dyDescent="0.3"/>
  <cols>
    <col min="1" max="1" width="29.44140625" customWidth="1"/>
    <col min="2" max="15" width="13.5546875" style="3" customWidth="1"/>
    <col min="16" max="16" width="11.44140625" style="3" customWidth="1"/>
    <col min="17" max="17" width="13.5546875" style="3" customWidth="1"/>
    <col min="19" max="19" width="16.33203125" customWidth="1"/>
  </cols>
  <sheetData>
    <row r="1" spans="1:19" x14ac:dyDescent="0.3">
      <c r="A1" t="s">
        <v>0</v>
      </c>
    </row>
    <row r="3" spans="1:19" ht="18" x14ac:dyDescent="0.35">
      <c r="A3" s="2" t="s">
        <v>86</v>
      </c>
      <c r="R3" s="3"/>
    </row>
    <row r="5" spans="1:19" ht="18" x14ac:dyDescent="0.35">
      <c r="A5" s="2" t="s">
        <v>45</v>
      </c>
    </row>
    <row r="6" spans="1:19" ht="13.95" customHeight="1" x14ac:dyDescent="0.35">
      <c r="A6" s="2"/>
      <c r="C6" s="3" t="s">
        <v>46</v>
      </c>
    </row>
    <row r="7" spans="1:19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9" s="1" customFormat="1" ht="20.7" customHeight="1" x14ac:dyDescent="0.3">
      <c r="A8" s="1" t="s">
        <v>18</v>
      </c>
      <c r="B8" s="5">
        <f>SUM(C8:Q8)</f>
        <v>1233726.6299999999</v>
      </c>
      <c r="C8" s="5">
        <f>SUM(C9:C10)</f>
        <v>247166.66999999998</v>
      </c>
      <c r="D8" s="15">
        <f t="shared" ref="D8:Q8" si="0">SUM(D9:D10)</f>
        <v>0</v>
      </c>
      <c r="E8" s="15">
        <f t="shared" si="0"/>
        <v>53792.229999999996</v>
      </c>
      <c r="F8" s="5">
        <f t="shared" si="0"/>
        <v>93213.760000000009</v>
      </c>
      <c r="G8" s="5">
        <f t="shared" si="0"/>
        <v>100197.14</v>
      </c>
      <c r="H8" s="5">
        <f t="shared" si="0"/>
        <v>110714.87</v>
      </c>
      <c r="I8" s="5">
        <f t="shared" si="0"/>
        <v>169700.87</v>
      </c>
      <c r="J8" s="5">
        <f t="shared" si="0"/>
        <v>8340.69</v>
      </c>
      <c r="K8" s="5">
        <f t="shared" si="0"/>
        <v>24756</v>
      </c>
      <c r="L8" s="5">
        <f t="shared" si="0"/>
        <v>32179.37</v>
      </c>
      <c r="M8" s="5">
        <f t="shared" si="0"/>
        <v>284848.56999999995</v>
      </c>
      <c r="N8" s="5">
        <f t="shared" si="0"/>
        <v>76205.23000000001</v>
      </c>
      <c r="O8" s="5">
        <f t="shared" si="0"/>
        <v>0</v>
      </c>
      <c r="P8" s="5">
        <f>SUM(P9:P10)</f>
        <v>32611.229999999996</v>
      </c>
      <c r="Q8" s="5">
        <f t="shared" si="0"/>
        <v>0</v>
      </c>
      <c r="S8" s="7"/>
    </row>
    <row r="9" spans="1:19" x14ac:dyDescent="0.3">
      <c r="A9" t="s">
        <v>19</v>
      </c>
      <c r="B9" s="6">
        <f>SUM(C9:Q9)</f>
        <v>1077930.8099999998</v>
      </c>
      <c r="C9" s="6">
        <f>68237.42+178929.25</f>
        <v>247166.66999999998</v>
      </c>
      <c r="D9" s="11"/>
      <c r="E9" s="11">
        <v>53792.229999999996</v>
      </c>
      <c r="F9" s="6">
        <v>93213.760000000009</v>
      </c>
      <c r="G9" s="6">
        <v>100197.14</v>
      </c>
      <c r="H9" s="6">
        <v>61358.149999999994</v>
      </c>
      <c r="I9" s="6">
        <v>82574.37</v>
      </c>
      <c r="J9" s="6">
        <v>8340.69</v>
      </c>
      <c r="K9" s="6">
        <v>24756</v>
      </c>
      <c r="L9" s="6">
        <v>32179.37</v>
      </c>
      <c r="M9" s="11">
        <v>284848.56999999995</v>
      </c>
      <c r="N9" s="6">
        <v>56892.630000000005</v>
      </c>
      <c r="O9" s="6"/>
      <c r="P9" s="8">
        <v>32611.229999999996</v>
      </c>
      <c r="Q9" s="6"/>
    </row>
    <row r="10" spans="1:19" x14ac:dyDescent="0.3">
      <c r="A10" t="s">
        <v>20</v>
      </c>
      <c r="B10" s="6">
        <f>SUM(C10:Q10)</f>
        <v>155795.82</v>
      </c>
      <c r="C10" s="6"/>
      <c r="D10" s="11"/>
      <c r="E10" s="11"/>
      <c r="F10" s="6"/>
      <c r="G10" s="6"/>
      <c r="H10" s="6">
        <v>49356.72</v>
      </c>
      <c r="I10" s="6">
        <v>87126.5</v>
      </c>
      <c r="J10" s="6"/>
      <c r="K10" s="6"/>
      <c r="L10" s="6"/>
      <c r="M10" s="11"/>
      <c r="N10" s="6">
        <v>19312.599999999999</v>
      </c>
      <c r="O10" s="6"/>
      <c r="Q10" s="6"/>
    </row>
    <row r="11" spans="1:19" s="1" customFormat="1" ht="20.399999999999999" customHeight="1" x14ac:dyDescent="0.3">
      <c r="A11" s="1" t="s">
        <v>21</v>
      </c>
      <c r="B11" s="5">
        <f t="shared" ref="B11:B19" si="1">SUM(C11:Q11)</f>
        <v>534813.25</v>
      </c>
      <c r="C11" s="5">
        <f>SUM(C12:C15)</f>
        <v>485954.97999999992</v>
      </c>
      <c r="D11" s="15">
        <f t="shared" ref="D11:Q11" si="2">SUM(D12:D15)</f>
        <v>0</v>
      </c>
      <c r="E11" s="15">
        <f t="shared" si="2"/>
        <v>6108.96</v>
      </c>
      <c r="F11" s="5">
        <f t="shared" si="2"/>
        <v>4115.34</v>
      </c>
      <c r="G11" s="5">
        <f t="shared" si="2"/>
        <v>4848.2699999999995</v>
      </c>
      <c r="H11" s="5">
        <f t="shared" si="2"/>
        <v>5829.130000000001</v>
      </c>
      <c r="I11" s="5">
        <f t="shared" si="2"/>
        <v>21218.82</v>
      </c>
      <c r="J11" s="5">
        <f t="shared" si="2"/>
        <v>1019.6</v>
      </c>
      <c r="K11" s="5">
        <f t="shared" si="2"/>
        <v>345</v>
      </c>
      <c r="L11" s="5">
        <f t="shared" si="2"/>
        <v>956.24</v>
      </c>
      <c r="M11" s="15">
        <f t="shared" si="2"/>
        <v>243.64000000000001</v>
      </c>
      <c r="N11" s="5">
        <f t="shared" si="2"/>
        <v>2390.88</v>
      </c>
      <c r="O11" s="5">
        <f t="shared" si="2"/>
        <v>0</v>
      </c>
      <c r="P11" s="5">
        <f>SUM(P12:P15)</f>
        <v>1782.3899999999999</v>
      </c>
      <c r="Q11" s="5">
        <f t="shared" si="2"/>
        <v>0</v>
      </c>
    </row>
    <row r="12" spans="1:19" x14ac:dyDescent="0.3">
      <c r="A12" t="s">
        <v>22</v>
      </c>
      <c r="B12" s="6">
        <f>SUM(C12:Q12)</f>
        <v>393540.64</v>
      </c>
      <c r="C12" s="6">
        <f>378986.54+8937.32</f>
        <v>387923.86</v>
      </c>
      <c r="D12" s="11"/>
      <c r="E12" s="11">
        <f>2029.84+681</f>
        <v>2710.84</v>
      </c>
      <c r="F12" s="6">
        <f>632.57+270</f>
        <v>902.57</v>
      </c>
      <c r="G12" s="11">
        <v>475</v>
      </c>
      <c r="H12" s="6"/>
      <c r="I12" s="6">
        <v>13.5</v>
      </c>
      <c r="J12" s="6"/>
      <c r="K12" s="6"/>
      <c r="L12" s="6">
        <v>700</v>
      </c>
      <c r="M12" s="11">
        <v>198.4</v>
      </c>
      <c r="N12" s="6">
        <v>616.47</v>
      </c>
      <c r="O12" s="6"/>
      <c r="Q12" s="6"/>
    </row>
    <row r="13" spans="1:19" x14ac:dyDescent="0.3">
      <c r="A13" t="s">
        <v>23</v>
      </c>
      <c r="B13" s="6">
        <f>SUM(C13:Q13)</f>
        <v>42656.74</v>
      </c>
      <c r="C13" s="6">
        <f>2019.41+11800.44</f>
        <v>13819.85</v>
      </c>
      <c r="D13" s="11"/>
      <c r="E13" s="11">
        <v>760.29</v>
      </c>
      <c r="F13" s="6">
        <v>2644.77</v>
      </c>
      <c r="G13" s="11">
        <v>3895.82</v>
      </c>
      <c r="H13" s="6">
        <v>2169.77</v>
      </c>
      <c r="I13" s="6">
        <v>17721.55</v>
      </c>
      <c r="J13" s="6"/>
      <c r="K13" s="6"/>
      <c r="L13" s="6">
        <v>256.24</v>
      </c>
      <c r="M13" s="11"/>
      <c r="N13" s="6">
        <v>595.55999999999995</v>
      </c>
      <c r="O13" s="6"/>
      <c r="P13" s="8">
        <v>792.89</v>
      </c>
      <c r="Q13" s="6"/>
    </row>
    <row r="14" spans="1:19" x14ac:dyDescent="0.3">
      <c r="A14" t="s">
        <v>24</v>
      </c>
      <c r="B14" s="6">
        <f>SUM(C14:Q14)</f>
        <v>16968.849999999999</v>
      </c>
      <c r="C14" s="6">
        <f>11369.21+1632.52</f>
        <v>13001.73</v>
      </c>
      <c r="D14" s="11"/>
      <c r="E14" s="11">
        <v>568</v>
      </c>
      <c r="F14" s="6">
        <v>568</v>
      </c>
      <c r="G14" s="11"/>
      <c r="H14" s="6"/>
      <c r="I14" s="6">
        <v>1583.78</v>
      </c>
      <c r="J14" s="6">
        <v>902.34</v>
      </c>
      <c r="K14" s="6">
        <v>345</v>
      </c>
      <c r="L14" s="6"/>
      <c r="M14" s="11"/>
      <c r="N14" s="6"/>
      <c r="O14" s="6"/>
      <c r="P14" s="8"/>
      <c r="Q14" s="6"/>
    </row>
    <row r="15" spans="1:19" x14ac:dyDescent="0.3">
      <c r="A15" t="s">
        <v>25</v>
      </c>
      <c r="B15" s="6">
        <f>SUM(C15:Q15)</f>
        <v>81647.02</v>
      </c>
      <c r="C15" s="6">
        <f>70078.9+1130.64</f>
        <v>71209.539999999994</v>
      </c>
      <c r="D15" s="11"/>
      <c r="E15" s="11">
        <v>2069.83</v>
      </c>
      <c r="F15" s="6"/>
      <c r="G15" s="11">
        <v>477.45</v>
      </c>
      <c r="H15" s="6">
        <v>3659.3600000000006</v>
      </c>
      <c r="I15" s="6">
        <v>1899.99</v>
      </c>
      <c r="J15" s="6">
        <v>117.26</v>
      </c>
      <c r="K15" s="6"/>
      <c r="L15" s="6"/>
      <c r="M15" s="11">
        <v>45.24</v>
      </c>
      <c r="N15" s="6">
        <v>1178.8499999999999</v>
      </c>
      <c r="O15" s="6"/>
      <c r="P15" s="6">
        <v>989.5</v>
      </c>
      <c r="Q15" s="6"/>
    </row>
    <row r="16" spans="1:19" s="1" customFormat="1" ht="18.899999999999999" customHeight="1" x14ac:dyDescent="0.3">
      <c r="A16" s="1" t="s">
        <v>26</v>
      </c>
      <c r="B16" s="5">
        <f t="shared" si="1"/>
        <v>12635.070000000002</v>
      </c>
      <c r="C16" s="5">
        <f>943.09+7522.16</f>
        <v>8465.25</v>
      </c>
      <c r="D16" s="15"/>
      <c r="E16" s="15">
        <v>6.82</v>
      </c>
      <c r="F16" s="5">
        <v>493.95</v>
      </c>
      <c r="G16" s="15">
        <v>486.51</v>
      </c>
      <c r="H16" s="5"/>
      <c r="I16" s="5">
        <v>229.42</v>
      </c>
      <c r="J16" s="5">
        <v>1047.7</v>
      </c>
      <c r="K16" s="5">
        <v>1905.42</v>
      </c>
      <c r="L16" s="5"/>
      <c r="M16" s="15"/>
      <c r="N16" s="5"/>
      <c r="O16" s="5"/>
      <c r="P16" s="4"/>
      <c r="Q16" s="5"/>
    </row>
    <row r="17" spans="1:17" s="1" customFormat="1" ht="18.899999999999999" customHeight="1" x14ac:dyDescent="0.3">
      <c r="A17" s="1" t="s">
        <v>27</v>
      </c>
      <c r="B17" s="5">
        <f>SUM(C17:Q17)</f>
        <v>32659.07</v>
      </c>
      <c r="C17" s="5">
        <f>9235.43+9115.56</f>
        <v>18350.989999999998</v>
      </c>
      <c r="D17" s="15"/>
      <c r="E17" s="15">
        <v>173.26</v>
      </c>
      <c r="F17" s="5">
        <v>1428.9299999999998</v>
      </c>
      <c r="G17" s="5">
        <v>2543.0300000000002</v>
      </c>
      <c r="H17" s="5">
        <v>76.97</v>
      </c>
      <c r="I17" s="5">
        <v>820.42000000000007</v>
      </c>
      <c r="J17" s="5"/>
      <c r="K17" s="5"/>
      <c r="L17" s="5"/>
      <c r="M17" s="15">
        <v>9071.9699999999993</v>
      </c>
      <c r="N17" s="5">
        <v>193.5</v>
      </c>
      <c r="O17" s="5"/>
      <c r="P17" s="4"/>
      <c r="Q17" s="5"/>
    </row>
    <row r="18" spans="1:17" s="1" customFormat="1" ht="18.899999999999999" customHeight="1" x14ac:dyDescent="0.3">
      <c r="A18" s="1" t="s">
        <v>28</v>
      </c>
      <c r="B18" s="5">
        <f t="shared" si="1"/>
        <v>18099.36</v>
      </c>
      <c r="C18" s="5">
        <f>11442.41+13.34</f>
        <v>11455.75</v>
      </c>
      <c r="D18" s="15"/>
      <c r="E18" s="15"/>
      <c r="F18" s="5"/>
      <c r="G18" s="5">
        <v>4329.72</v>
      </c>
      <c r="H18" s="5">
        <v>1300.93</v>
      </c>
      <c r="I18" s="5"/>
      <c r="J18" s="5">
        <v>977</v>
      </c>
      <c r="K18" s="5"/>
      <c r="L18" s="5"/>
      <c r="M18" s="5">
        <v>35.96</v>
      </c>
      <c r="N18" s="5"/>
      <c r="O18" s="5"/>
      <c r="P18" s="4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61.4</v>
      </c>
      <c r="C19" s="5">
        <f>SUM(C20:C22)</f>
        <v>0</v>
      </c>
      <c r="D19" s="15">
        <f t="shared" ref="D19:Q19" si="3">SUM(D20:D22)</f>
        <v>0</v>
      </c>
      <c r="E19" s="1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61.4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>SUM(P20:P22)</f>
        <v>0</v>
      </c>
      <c r="Q19" s="5">
        <f t="shared" si="3"/>
        <v>0</v>
      </c>
    </row>
    <row r="20" spans="1:17" x14ac:dyDescent="0.3">
      <c r="A20" t="s">
        <v>30</v>
      </c>
      <c r="B20" s="6"/>
      <c r="C20" s="6"/>
      <c r="D20" s="11"/>
      <c r="E20" s="11"/>
      <c r="F20" s="6"/>
      <c r="G20" s="6"/>
      <c r="H20" s="6"/>
      <c r="I20" s="6"/>
      <c r="J20" s="6"/>
      <c r="K20" s="6"/>
      <c r="L20" s="6"/>
      <c r="M20" s="6"/>
      <c r="N20" s="6"/>
      <c r="O20" s="6"/>
      <c r="Q20" s="6"/>
    </row>
    <row r="21" spans="1:17" x14ac:dyDescent="0.3">
      <c r="A21" t="s">
        <v>31</v>
      </c>
      <c r="B21" s="6"/>
      <c r="C21" s="6"/>
      <c r="D21" s="11"/>
      <c r="E21" s="11"/>
      <c r="F21" s="6"/>
      <c r="G21" s="6"/>
      <c r="H21" s="6">
        <v>61.4</v>
      </c>
      <c r="I21" s="6"/>
      <c r="J21" s="6"/>
      <c r="K21" s="6"/>
      <c r="L21" s="6"/>
      <c r="M21" s="6"/>
      <c r="N21" s="6"/>
      <c r="O21" s="6"/>
      <c r="Q21" s="6"/>
    </row>
    <row r="22" spans="1:17" x14ac:dyDescent="0.3">
      <c r="A22" t="s">
        <v>32</v>
      </c>
      <c r="B22" s="6"/>
      <c r="C22" s="6"/>
      <c r="D22" s="11"/>
      <c r="E22" s="11"/>
      <c r="F22" s="6"/>
      <c r="G22" s="6"/>
      <c r="H22" s="6"/>
      <c r="I22" s="6"/>
      <c r="J22" s="6"/>
      <c r="K22" s="6"/>
      <c r="L22" s="6"/>
      <c r="M22" s="6"/>
      <c r="N22" s="6"/>
      <c r="O22" s="6"/>
      <c r="Q22" s="6"/>
    </row>
    <row r="23" spans="1:17" x14ac:dyDescent="0.3">
      <c r="A23" s="1" t="s">
        <v>33</v>
      </c>
      <c r="B23" s="5">
        <f>SUM(C23:Q23)</f>
        <v>11630.880000000001</v>
      </c>
      <c r="C23" s="6">
        <v>11193.6</v>
      </c>
      <c r="D23" s="11"/>
      <c r="E23" s="11"/>
      <c r="F23" s="6"/>
      <c r="G23" s="6"/>
      <c r="H23" s="6">
        <v>437.28</v>
      </c>
      <c r="I23" s="6"/>
      <c r="J23" s="6"/>
      <c r="K23" s="6"/>
      <c r="L23" s="6"/>
      <c r="M23" s="6"/>
      <c r="N23" s="6"/>
      <c r="O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1820363.9000000001</v>
      </c>
      <c r="C24" s="5">
        <f>C8+C11+C16+C17+C18+C19-C23</f>
        <v>760200.03999999992</v>
      </c>
      <c r="D24" s="5">
        <f t="shared" ref="D24:Q24" si="4">D8+D11+D16+D17+D18+D19-D23</f>
        <v>0</v>
      </c>
      <c r="E24" s="5">
        <f t="shared" si="4"/>
        <v>60081.27</v>
      </c>
      <c r="F24" s="5">
        <f t="shared" si="4"/>
        <v>99251.98</v>
      </c>
      <c r="G24" s="5">
        <f t="shared" si="4"/>
        <v>112404.67</v>
      </c>
      <c r="H24" s="5">
        <f t="shared" si="4"/>
        <v>117546.01999999999</v>
      </c>
      <c r="I24" s="5">
        <f t="shared" si="4"/>
        <v>191969.53000000003</v>
      </c>
      <c r="J24" s="5">
        <f t="shared" si="4"/>
        <v>11384.990000000002</v>
      </c>
      <c r="K24" s="5">
        <f t="shared" si="4"/>
        <v>27006.42</v>
      </c>
      <c r="L24" s="5">
        <f t="shared" si="4"/>
        <v>33135.61</v>
      </c>
      <c r="M24" s="5">
        <f t="shared" si="4"/>
        <v>294200.13999999996</v>
      </c>
      <c r="N24" s="5">
        <f t="shared" si="4"/>
        <v>78789.610000000015</v>
      </c>
      <c r="O24" s="5">
        <f t="shared" si="4"/>
        <v>0</v>
      </c>
      <c r="P24" s="5">
        <f t="shared" si="4"/>
        <v>34393.619999999995</v>
      </c>
      <c r="Q24" s="5">
        <f t="shared" si="4"/>
        <v>0</v>
      </c>
    </row>
    <row r="26" spans="1:17" x14ac:dyDescent="0.3">
      <c r="E26" s="6"/>
      <c r="F26" s="6"/>
    </row>
    <row r="28" spans="1:17" x14ac:dyDescent="0.3">
      <c r="A28" s="1" t="s">
        <v>35</v>
      </c>
      <c r="B28" s="6">
        <v>86988.479999999996</v>
      </c>
    </row>
    <row r="29" spans="1:17" x14ac:dyDescent="0.3">
      <c r="A29" s="1" t="s">
        <v>36</v>
      </c>
      <c r="B29" s="6">
        <v>315310.27</v>
      </c>
    </row>
    <row r="30" spans="1:17" x14ac:dyDescent="0.3">
      <c r="A30" s="1" t="s">
        <v>37</v>
      </c>
      <c r="B30" s="6">
        <v>666570.73999999987</v>
      </c>
    </row>
    <row r="31" spans="1:17" x14ac:dyDescent="0.3">
      <c r="A31" s="1" t="s">
        <v>38</v>
      </c>
      <c r="B31" s="6">
        <v>241233.84000000003</v>
      </c>
    </row>
    <row r="32" spans="1:17" x14ac:dyDescent="0.3">
      <c r="A32" s="1" t="s">
        <v>69</v>
      </c>
      <c r="B32" s="6">
        <v>301421.94</v>
      </c>
      <c r="E32" s="6"/>
    </row>
    <row r="33" spans="1:2" x14ac:dyDescent="0.3">
      <c r="A33" s="1" t="s">
        <v>84</v>
      </c>
      <c r="B33" s="6">
        <v>235098.42</v>
      </c>
    </row>
    <row r="34" spans="1:2" x14ac:dyDescent="0.3">
      <c r="A34" s="1" t="s">
        <v>85</v>
      </c>
      <c r="B34" s="6">
        <v>-26259.79</v>
      </c>
    </row>
    <row r="35" spans="1:2" x14ac:dyDescent="0.3">
      <c r="A35" s="1"/>
      <c r="B35" s="6"/>
    </row>
    <row r="36" spans="1:2" x14ac:dyDescent="0.3">
      <c r="A36" s="1" t="s">
        <v>39</v>
      </c>
      <c r="B36" s="6">
        <f>SUM(B28:B35)</f>
        <v>1820363.8999999997</v>
      </c>
    </row>
  </sheetData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pageSetUpPr fitToPage="1"/>
  </sheetPr>
  <dimension ref="A1:R36"/>
  <sheetViews>
    <sheetView zoomScale="70" zoomScaleNormal="70" workbookViewId="0">
      <pane xSplit="1" topLeftCell="B1" activePane="topRight" state="frozen"/>
      <selection pane="topRight" activeCell="A33" sqref="A33:XFD34"/>
    </sheetView>
  </sheetViews>
  <sheetFormatPr defaultRowHeight="14.4" x14ac:dyDescent="0.3"/>
  <cols>
    <col min="1" max="1" width="29.44140625" customWidth="1"/>
    <col min="2" max="17" width="13.5546875" style="3" customWidth="1"/>
  </cols>
  <sheetData>
    <row r="1" spans="1:18" x14ac:dyDescent="0.3">
      <c r="A1" t="s">
        <v>0</v>
      </c>
    </row>
    <row r="3" spans="1:18" ht="18" x14ac:dyDescent="0.35">
      <c r="A3" s="2" t="s">
        <v>86</v>
      </c>
      <c r="R3" s="3"/>
    </row>
    <row r="5" spans="1:18" ht="18" x14ac:dyDescent="0.35">
      <c r="A5" s="2" t="s">
        <v>47</v>
      </c>
    </row>
    <row r="6" spans="1:18" ht="13.95" customHeight="1" x14ac:dyDescent="0.35">
      <c r="A6" s="2"/>
      <c r="C6" s="3" t="s">
        <v>48</v>
      </c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SUM(C8:Q8)</f>
        <v>2209480.59</v>
      </c>
      <c r="C8" s="5">
        <f>SUM(C9:C10)</f>
        <v>939862.55</v>
      </c>
      <c r="D8" s="15">
        <f t="shared" ref="D8:Q8" si="0">SUM(D9:D10)</f>
        <v>6114.83</v>
      </c>
      <c r="E8" s="15">
        <f t="shared" si="0"/>
        <v>34304.539999999994</v>
      </c>
      <c r="F8" s="5">
        <f t="shared" si="0"/>
        <v>262843.58</v>
      </c>
      <c r="G8" s="5">
        <f t="shared" si="0"/>
        <v>152078.95000000001</v>
      </c>
      <c r="H8" s="5">
        <f t="shared" si="0"/>
        <v>0</v>
      </c>
      <c r="I8" s="5">
        <f t="shared" si="0"/>
        <v>2847.22</v>
      </c>
      <c r="J8" s="5">
        <f t="shared" si="0"/>
        <v>80755.649999999994</v>
      </c>
      <c r="K8" s="5">
        <f t="shared" si="0"/>
        <v>0</v>
      </c>
      <c r="L8" s="5">
        <f t="shared" si="0"/>
        <v>41299.800000000003</v>
      </c>
      <c r="M8" s="5">
        <f t="shared" si="0"/>
        <v>422844.37</v>
      </c>
      <c r="N8" s="5">
        <f t="shared" si="0"/>
        <v>130330.83000000002</v>
      </c>
      <c r="O8" s="5">
        <f t="shared" si="0"/>
        <v>0</v>
      </c>
      <c r="P8" s="5">
        <f t="shared" ref="P8" si="1">SUM(P9:P10)</f>
        <v>117657.27</v>
      </c>
      <c r="Q8" s="5">
        <f t="shared" si="0"/>
        <v>18541</v>
      </c>
    </row>
    <row r="9" spans="1:18" x14ac:dyDescent="0.3">
      <c r="A9" t="s">
        <v>19</v>
      </c>
      <c r="B9" s="6">
        <f t="shared" ref="B9:B10" si="2">SUM(C9:Q9)</f>
        <v>2110899.27</v>
      </c>
      <c r="C9" s="6">
        <f>126666.12+813196.43</f>
        <v>939862.55</v>
      </c>
      <c r="D9" s="11">
        <v>6114.83</v>
      </c>
      <c r="E9" s="11">
        <v>34304.539999999994</v>
      </c>
      <c r="F9" s="6">
        <v>262843.58</v>
      </c>
      <c r="G9" s="6">
        <v>152078.95000000001</v>
      </c>
      <c r="H9" s="6"/>
      <c r="I9" s="6"/>
      <c r="J9" s="6">
        <v>44953.78</v>
      </c>
      <c r="K9" s="6"/>
      <c r="L9" s="6">
        <v>41299.800000000003</v>
      </c>
      <c r="M9" s="11">
        <v>422844.37</v>
      </c>
      <c r="N9" s="6">
        <v>70398.600000000006</v>
      </c>
      <c r="O9" s="6"/>
      <c r="P9" s="6">
        <v>117657.27</v>
      </c>
      <c r="Q9" s="6">
        <v>18541</v>
      </c>
    </row>
    <row r="10" spans="1:18" x14ac:dyDescent="0.3">
      <c r="A10" t="s">
        <v>20</v>
      </c>
      <c r="B10" s="6">
        <f t="shared" si="2"/>
        <v>98581.32</v>
      </c>
      <c r="C10" s="6"/>
      <c r="D10" s="11"/>
      <c r="E10" s="11"/>
      <c r="F10" s="6"/>
      <c r="G10" s="6"/>
      <c r="H10" s="6"/>
      <c r="I10" s="6">
        <v>2847.22</v>
      </c>
      <c r="J10" s="6">
        <v>35801.869999999995</v>
      </c>
      <c r="K10" s="6"/>
      <c r="L10" s="6"/>
      <c r="M10" s="6"/>
      <c r="N10" s="11">
        <v>59932.23</v>
      </c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3">SUM(C11:Q11)</f>
        <v>735816.95000000007</v>
      </c>
      <c r="C11" s="5">
        <f>SUM(C12:C15)</f>
        <v>671951.05</v>
      </c>
      <c r="D11" s="15">
        <f t="shared" ref="D11:Q11" si="4">SUM(D12:D15)</f>
        <v>0</v>
      </c>
      <c r="E11" s="15">
        <f t="shared" si="4"/>
        <v>5531.76</v>
      </c>
      <c r="F11" s="5">
        <f t="shared" si="4"/>
        <v>6139.7500000000009</v>
      </c>
      <c r="G11" s="5">
        <f t="shared" si="4"/>
        <v>4842.7300000000005</v>
      </c>
      <c r="H11" s="5">
        <f t="shared" si="4"/>
        <v>0</v>
      </c>
      <c r="I11" s="5">
        <f t="shared" si="4"/>
        <v>0</v>
      </c>
      <c r="J11" s="5">
        <f t="shared" si="4"/>
        <v>614.14</v>
      </c>
      <c r="K11" s="5">
        <f t="shared" si="4"/>
        <v>0</v>
      </c>
      <c r="L11" s="5">
        <f t="shared" si="4"/>
        <v>0</v>
      </c>
      <c r="M11" s="5">
        <f t="shared" si="4"/>
        <v>25961.96</v>
      </c>
      <c r="N11" s="5">
        <f t="shared" si="4"/>
        <v>4744.38</v>
      </c>
      <c r="O11" s="5">
        <f t="shared" si="4"/>
        <v>9962.880000000001</v>
      </c>
      <c r="P11" s="5">
        <f t="shared" ref="P11" si="5">SUM(P12:P15)</f>
        <v>6068.2999999999993</v>
      </c>
      <c r="Q11" s="5">
        <f t="shared" si="4"/>
        <v>0</v>
      </c>
    </row>
    <row r="12" spans="1:18" x14ac:dyDescent="0.3">
      <c r="A12" t="s">
        <v>22</v>
      </c>
      <c r="B12" s="6">
        <f t="shared" si="3"/>
        <v>163837.22000000003</v>
      </c>
      <c r="C12" s="6">
        <f>32386.22+104035.6</f>
        <v>136421.82</v>
      </c>
      <c r="D12" s="11"/>
      <c r="E12" s="11">
        <f>1244.92+819</f>
        <v>2063.92</v>
      </c>
      <c r="F12" s="6">
        <f>632.57+270</f>
        <v>902.57</v>
      </c>
      <c r="G12" s="11">
        <v>475</v>
      </c>
      <c r="H12" s="6"/>
      <c r="I12" s="6"/>
      <c r="J12" s="6">
        <v>388.5</v>
      </c>
      <c r="K12" s="6"/>
      <c r="L12" s="6"/>
      <c r="M12" s="11">
        <v>22892.42</v>
      </c>
      <c r="N12" s="6">
        <v>616.47</v>
      </c>
      <c r="O12" s="6">
        <v>76.52</v>
      </c>
      <c r="P12" s="6"/>
      <c r="Q12" s="6"/>
    </row>
    <row r="13" spans="1:18" x14ac:dyDescent="0.3">
      <c r="A13" t="s">
        <v>23</v>
      </c>
      <c r="B13" s="6">
        <f t="shared" si="3"/>
        <v>35506.97</v>
      </c>
      <c r="C13" s="6">
        <f>349.91+6922.16</f>
        <v>7272.07</v>
      </c>
      <c r="D13" s="11"/>
      <c r="E13" s="11">
        <v>2611.4700000000003</v>
      </c>
      <c r="F13" s="6">
        <v>5080.8100000000004</v>
      </c>
      <c r="G13" s="11">
        <v>1611.81</v>
      </c>
      <c r="H13" s="6"/>
      <c r="I13" s="6"/>
      <c r="J13" s="6"/>
      <c r="K13" s="6"/>
      <c r="L13" s="6"/>
      <c r="M13" s="11">
        <v>1130.08</v>
      </c>
      <c r="N13" s="6">
        <v>1846.07</v>
      </c>
      <c r="O13" s="6">
        <v>9886.36</v>
      </c>
      <c r="P13" s="6">
        <v>6068.2999999999993</v>
      </c>
      <c r="Q13" s="6"/>
    </row>
    <row r="14" spans="1:18" x14ac:dyDescent="0.3">
      <c r="A14" t="s">
        <v>24</v>
      </c>
      <c r="B14" s="6">
        <f t="shared" si="3"/>
        <v>12352.239999999998</v>
      </c>
      <c r="C14" s="6">
        <v>8465.34</v>
      </c>
      <c r="D14" s="11"/>
      <c r="E14" s="11"/>
      <c r="F14" s="6">
        <v>153.06</v>
      </c>
      <c r="G14" s="11">
        <v>2119.7400000000002</v>
      </c>
      <c r="H14" s="6"/>
      <c r="I14" s="6"/>
      <c r="J14" s="6">
        <v>225.64</v>
      </c>
      <c r="K14" s="6"/>
      <c r="L14" s="6"/>
      <c r="M14" s="11">
        <v>1388.46</v>
      </c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524120.52</v>
      </c>
      <c r="C15" s="6">
        <f>1142.13+518649.69</f>
        <v>519791.82</v>
      </c>
      <c r="D15" s="11"/>
      <c r="E15" s="11">
        <v>856.37000000000012</v>
      </c>
      <c r="F15" s="6">
        <v>3.31</v>
      </c>
      <c r="G15" s="11">
        <v>636.17999999999995</v>
      </c>
      <c r="H15" s="6"/>
      <c r="I15" s="6"/>
      <c r="J15" s="6"/>
      <c r="K15" s="6"/>
      <c r="L15" s="6"/>
      <c r="M15" s="6">
        <v>551</v>
      </c>
      <c r="N15" s="6">
        <v>2281.84</v>
      </c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 t="shared" si="3"/>
        <v>2305.48</v>
      </c>
      <c r="C16" s="5">
        <v>80.650000000000006</v>
      </c>
      <c r="D16" s="15"/>
      <c r="E16" s="15"/>
      <c r="F16" s="5">
        <v>153.61000000000001</v>
      </c>
      <c r="G16" s="5">
        <v>32.68</v>
      </c>
      <c r="H16" s="5"/>
      <c r="I16" s="5"/>
      <c r="J16" s="5">
        <v>1198.95</v>
      </c>
      <c r="K16" s="5"/>
      <c r="L16" s="5"/>
      <c r="M16" s="5">
        <v>609.97</v>
      </c>
      <c r="N16" s="5">
        <v>48.31</v>
      </c>
      <c r="O16" s="5"/>
      <c r="P16" s="5">
        <v>181.31</v>
      </c>
      <c r="Q16" s="5"/>
    </row>
    <row r="17" spans="1:17" s="1" customFormat="1" ht="18.899999999999999" customHeight="1" x14ac:dyDescent="0.3">
      <c r="A17" s="1" t="s">
        <v>27</v>
      </c>
      <c r="B17" s="5">
        <f t="shared" si="3"/>
        <v>37765.090000000011</v>
      </c>
      <c r="C17" s="5">
        <f>8039.35+16560.88</f>
        <v>24600.230000000003</v>
      </c>
      <c r="D17" s="15"/>
      <c r="E17" s="15">
        <v>97.19</v>
      </c>
      <c r="F17" s="5"/>
      <c r="G17" s="5">
        <v>4156</v>
      </c>
      <c r="H17" s="5"/>
      <c r="I17" s="5"/>
      <c r="J17" s="5">
        <v>1316.38</v>
      </c>
      <c r="K17" s="5"/>
      <c r="L17" s="5"/>
      <c r="M17" s="5">
        <v>5949.6600000000008</v>
      </c>
      <c r="N17" s="5">
        <v>936.9</v>
      </c>
      <c r="O17" s="5">
        <v>254.68</v>
      </c>
      <c r="P17" s="5">
        <v>454.05</v>
      </c>
      <c r="Q17" s="5"/>
    </row>
    <row r="18" spans="1:17" s="1" customFormat="1" ht="18.899999999999999" customHeight="1" x14ac:dyDescent="0.3">
      <c r="A18" s="1" t="s">
        <v>28</v>
      </c>
      <c r="B18" s="5">
        <f t="shared" si="3"/>
        <v>8514.1200000000008</v>
      </c>
      <c r="C18" s="5">
        <v>6414.1600000000008</v>
      </c>
      <c r="D18" s="15"/>
      <c r="E18" s="15"/>
      <c r="F18" s="5">
        <v>30.65</v>
      </c>
      <c r="G18" s="5">
        <v>149.29000000000002</v>
      </c>
      <c r="H18" s="5"/>
      <c r="I18" s="5"/>
      <c r="J18" s="5">
        <v>1753</v>
      </c>
      <c r="K18" s="5"/>
      <c r="L18" s="5"/>
      <c r="M18" s="5">
        <v>119.02</v>
      </c>
      <c r="N18" s="5">
        <v>48</v>
      </c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3"/>
        <v>0</v>
      </c>
      <c r="C19" s="5">
        <f>SUM(C20:C22)</f>
        <v>0</v>
      </c>
      <c r="D19" s="15">
        <f t="shared" ref="D19:Q19" si="6">SUM(D20:D22)</f>
        <v>0</v>
      </c>
      <c r="E19" s="15">
        <f t="shared" si="6"/>
        <v>0</v>
      </c>
      <c r="F19" s="5">
        <f t="shared" si="6"/>
        <v>0</v>
      </c>
      <c r="G19" s="5">
        <f t="shared" si="6"/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5">
        <f t="shared" si="6"/>
        <v>0</v>
      </c>
      <c r="L19" s="5">
        <f t="shared" si="6"/>
        <v>0</v>
      </c>
      <c r="M19" s="5">
        <f t="shared" si="6"/>
        <v>0</v>
      </c>
      <c r="N19" s="5">
        <f t="shared" si="6"/>
        <v>0</v>
      </c>
      <c r="O19" s="5">
        <f t="shared" si="6"/>
        <v>0</v>
      </c>
      <c r="P19" s="5">
        <f t="shared" ref="P19" si="7">SUM(P20:P22)</f>
        <v>0</v>
      </c>
      <c r="Q19" s="5">
        <f t="shared" si="6"/>
        <v>0</v>
      </c>
    </row>
    <row r="20" spans="1:17" x14ac:dyDescent="0.3">
      <c r="A20" t="s">
        <v>30</v>
      </c>
      <c r="B20" s="6"/>
      <c r="C20" s="6"/>
      <c r="D20" s="11"/>
      <c r="E20" s="11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/>
      <c r="C21" s="6"/>
      <c r="D21" s="11"/>
      <c r="E21" s="1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/>
      <c r="C22" s="6"/>
      <c r="D22" s="11"/>
      <c r="E22" s="1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 t="shared" ref="B23" si="8">SUM(C23:Q23)</f>
        <v>3066.71</v>
      </c>
      <c r="C23" s="6">
        <f>1198.44+1868.27</f>
        <v>3066.71</v>
      </c>
      <c r="D23" s="11"/>
      <c r="E23" s="1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2990815.52</v>
      </c>
      <c r="C24" s="5">
        <f>C8+C11+C16+C17+C18+C19-C23</f>
        <v>1639841.93</v>
      </c>
      <c r="D24" s="5">
        <f t="shared" ref="D24:Q24" si="9">D8+D11+D16+D17+D18+D19-D23</f>
        <v>6114.83</v>
      </c>
      <c r="E24" s="5">
        <f t="shared" si="9"/>
        <v>39933.49</v>
      </c>
      <c r="F24" s="5">
        <f t="shared" si="9"/>
        <v>269167.59000000003</v>
      </c>
      <c r="G24" s="5">
        <f t="shared" si="9"/>
        <v>161259.65000000002</v>
      </c>
      <c r="H24" s="5">
        <f t="shared" si="9"/>
        <v>0</v>
      </c>
      <c r="I24" s="5">
        <f t="shared" si="9"/>
        <v>2847.22</v>
      </c>
      <c r="J24" s="5">
        <f t="shared" si="9"/>
        <v>85638.12</v>
      </c>
      <c r="K24" s="5">
        <f t="shared" si="9"/>
        <v>0</v>
      </c>
      <c r="L24" s="5">
        <f t="shared" si="9"/>
        <v>41299.800000000003</v>
      </c>
      <c r="M24" s="5">
        <f t="shared" si="9"/>
        <v>455484.98</v>
      </c>
      <c r="N24" s="5">
        <f t="shared" si="9"/>
        <v>136108.42000000001</v>
      </c>
      <c r="O24" s="5">
        <f t="shared" si="9"/>
        <v>10217.560000000001</v>
      </c>
      <c r="P24" s="5">
        <f t="shared" si="9"/>
        <v>124360.93000000001</v>
      </c>
      <c r="Q24" s="5">
        <f t="shared" si="9"/>
        <v>18541</v>
      </c>
    </row>
    <row r="25" spans="1:17" x14ac:dyDescent="0.3">
      <c r="E25" s="16"/>
    </row>
    <row r="26" spans="1:17" x14ac:dyDescent="0.3">
      <c r="E26" s="6"/>
    </row>
    <row r="27" spans="1:17" x14ac:dyDescent="0.3">
      <c r="E27" s="6"/>
    </row>
    <row r="28" spans="1:17" x14ac:dyDescent="0.3">
      <c r="A28" s="1" t="s">
        <v>35</v>
      </c>
      <c r="B28" s="6">
        <v>89041.95</v>
      </c>
    </row>
    <row r="29" spans="1:17" x14ac:dyDescent="0.3">
      <c r="A29" s="1" t="s">
        <v>36</v>
      </c>
      <c r="B29" s="6">
        <v>353349.15</v>
      </c>
    </row>
    <row r="30" spans="1:17" x14ac:dyDescent="0.3">
      <c r="A30" s="1" t="s">
        <v>37</v>
      </c>
      <c r="B30" s="6">
        <v>365632.57</v>
      </c>
    </row>
    <row r="31" spans="1:17" x14ac:dyDescent="0.3">
      <c r="A31" s="1" t="s">
        <v>38</v>
      </c>
      <c r="B31" s="6">
        <v>312867.11</v>
      </c>
    </row>
    <row r="32" spans="1:17" x14ac:dyDescent="0.3">
      <c r="A32" s="1" t="s">
        <v>69</v>
      </c>
      <c r="B32" s="6">
        <v>402716.74</v>
      </c>
    </row>
    <row r="33" spans="1:2" x14ac:dyDescent="0.3">
      <c r="A33" s="1" t="s">
        <v>84</v>
      </c>
      <c r="B33" s="6">
        <v>319019.14</v>
      </c>
    </row>
    <row r="34" spans="1:2" x14ac:dyDescent="0.3">
      <c r="A34" s="1" t="s">
        <v>85</v>
      </c>
      <c r="B34" s="6">
        <v>1148188.8600000001</v>
      </c>
    </row>
    <row r="35" spans="1:2" x14ac:dyDescent="0.3">
      <c r="A35" s="1"/>
      <c r="B35" s="6"/>
    </row>
    <row r="36" spans="1:2" x14ac:dyDescent="0.3">
      <c r="A36" s="1" t="s">
        <v>39</v>
      </c>
      <c r="B36" s="6">
        <f>SUM(B28:B35)</f>
        <v>2990815.5200000005</v>
      </c>
    </row>
  </sheetData>
  <pageMargins left="0.7" right="0.7" top="0.75" bottom="0.75" header="0.3" footer="0.3"/>
  <pageSetup paperSize="9" scale="5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7">
    <pageSetUpPr fitToPage="1"/>
  </sheetPr>
  <dimension ref="A1:R35"/>
  <sheetViews>
    <sheetView zoomScale="70" zoomScaleNormal="70" workbookViewId="0">
      <pane xSplit="1" topLeftCell="B1" activePane="topRight" state="frozen"/>
      <selection activeCell="A4" sqref="A4"/>
      <selection pane="topRight" activeCell="D37" sqref="D37"/>
    </sheetView>
  </sheetViews>
  <sheetFormatPr defaultRowHeight="14.4" x14ac:dyDescent="0.3"/>
  <cols>
    <col min="1" max="1" width="29.44140625" customWidth="1"/>
    <col min="2" max="17" width="13.5546875" style="3" customWidth="1"/>
    <col min="18" max="18" width="13.6640625" customWidth="1"/>
  </cols>
  <sheetData>
    <row r="1" spans="1:18" x14ac:dyDescent="0.3">
      <c r="A1" t="s">
        <v>0</v>
      </c>
    </row>
    <row r="3" spans="1:18" ht="18" x14ac:dyDescent="0.35">
      <c r="A3" s="2" t="s">
        <v>86</v>
      </c>
      <c r="R3" s="3"/>
    </row>
    <row r="5" spans="1:18" ht="18" x14ac:dyDescent="0.35">
      <c r="A5" s="2" t="s">
        <v>49</v>
      </c>
    </row>
    <row r="6" spans="1:18" ht="13.95" customHeight="1" x14ac:dyDescent="0.35">
      <c r="A6" s="2"/>
      <c r="C6" s="3" t="s">
        <v>50</v>
      </c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51</v>
      </c>
      <c r="P7" s="4" t="s">
        <v>15</v>
      </c>
      <c r="Q7" s="4" t="s">
        <v>16</v>
      </c>
      <c r="R7" s="4" t="s">
        <v>17</v>
      </c>
    </row>
    <row r="8" spans="1:18" s="1" customFormat="1" ht="20.7" customHeight="1" x14ac:dyDescent="0.3">
      <c r="A8" s="1" t="s">
        <v>18</v>
      </c>
      <c r="B8" s="5">
        <f>SUM(C8:Q8)</f>
        <v>847559.22</v>
      </c>
      <c r="C8" s="5">
        <f>SUM(C9:C10)</f>
        <v>554622.25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19318.46</v>
      </c>
      <c r="H8" s="5">
        <f t="shared" si="0"/>
        <v>65269.27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166603.18000000002</v>
      </c>
      <c r="N8" s="5">
        <f t="shared" si="0"/>
        <v>14338.68</v>
      </c>
      <c r="O8" s="5">
        <f t="shared" si="0"/>
        <v>25096.19</v>
      </c>
      <c r="P8" s="5">
        <f t="shared" si="0"/>
        <v>0</v>
      </c>
      <c r="Q8" s="5">
        <f t="shared" si="0"/>
        <v>2311.19</v>
      </c>
      <c r="R8" s="5">
        <f t="shared" ref="R8" si="1">SUM(R9:R10)</f>
        <v>0</v>
      </c>
    </row>
    <row r="9" spans="1:18" x14ac:dyDescent="0.3">
      <c r="A9" t="s">
        <v>19</v>
      </c>
      <c r="B9" s="6">
        <f>SUM(C9:R9)</f>
        <v>819494.84</v>
      </c>
      <c r="C9" s="6">
        <f>142788.75+411833.5</f>
        <v>554622.25</v>
      </c>
      <c r="D9" s="6"/>
      <c r="E9" s="6"/>
      <c r="F9" s="6"/>
      <c r="G9" s="6">
        <v>19318.46</v>
      </c>
      <c r="H9" s="6">
        <v>46018.31</v>
      </c>
      <c r="I9" s="6"/>
      <c r="J9" s="6"/>
      <c r="K9" s="6"/>
      <c r="L9" s="6"/>
      <c r="M9" s="6">
        <v>166603.18000000002</v>
      </c>
      <c r="N9" s="6">
        <v>5525.26</v>
      </c>
      <c r="O9" s="6">
        <v>25096.19</v>
      </c>
      <c r="P9" s="6"/>
      <c r="Q9" s="6">
        <v>2311.19</v>
      </c>
      <c r="R9" s="6"/>
    </row>
    <row r="10" spans="1:18" x14ac:dyDescent="0.3">
      <c r="A10" t="s">
        <v>20</v>
      </c>
      <c r="B10" s="6">
        <f>SUM(C10:R10)</f>
        <v>28064.379999999997</v>
      </c>
      <c r="C10" s="6"/>
      <c r="D10" s="6"/>
      <c r="E10" s="6"/>
      <c r="F10" s="6"/>
      <c r="G10" s="6"/>
      <c r="H10" s="6">
        <v>19250.96</v>
      </c>
      <c r="I10" s="6"/>
      <c r="J10" s="6"/>
      <c r="K10" s="6"/>
      <c r="L10" s="6"/>
      <c r="M10" s="6"/>
      <c r="N10" s="6">
        <v>8813.42</v>
      </c>
      <c r="O10" s="6"/>
      <c r="P10" s="6"/>
      <c r="Q10" s="6"/>
      <c r="R10" s="6"/>
    </row>
    <row r="11" spans="1:18" s="1" customFormat="1" ht="20.399999999999999" customHeight="1" x14ac:dyDescent="0.3">
      <c r="A11" s="1" t="s">
        <v>21</v>
      </c>
      <c r="B11" s="5">
        <f t="shared" ref="B11:B19" si="2">SUM(C11:Q11)</f>
        <v>146678.68</v>
      </c>
      <c r="C11" s="5">
        <f>SUM(C12:C15)</f>
        <v>135963.51</v>
      </c>
      <c r="D11" s="5">
        <f t="shared" ref="D11:Q11" si="3">SUM(D12:D15)</f>
        <v>0</v>
      </c>
      <c r="E11" s="5">
        <f t="shared" si="3"/>
        <v>0</v>
      </c>
      <c r="F11" s="5">
        <f t="shared" si="3"/>
        <v>0</v>
      </c>
      <c r="G11" s="5">
        <f t="shared" si="3"/>
        <v>569.31999999999994</v>
      </c>
      <c r="H11" s="5">
        <f t="shared" si="3"/>
        <v>1172.6600000000001</v>
      </c>
      <c r="I11" s="5">
        <f t="shared" si="3"/>
        <v>0</v>
      </c>
      <c r="J11" s="5">
        <f t="shared" si="3"/>
        <v>0</v>
      </c>
      <c r="K11" s="5">
        <f t="shared" si="3"/>
        <v>0</v>
      </c>
      <c r="L11" s="5">
        <f t="shared" si="3"/>
        <v>0</v>
      </c>
      <c r="M11" s="5">
        <f t="shared" si="3"/>
        <v>4959</v>
      </c>
      <c r="N11" s="5">
        <f t="shared" si="3"/>
        <v>2249.77</v>
      </c>
      <c r="O11" s="5">
        <f t="shared" si="3"/>
        <v>1622.56</v>
      </c>
      <c r="P11" s="5">
        <f t="shared" si="3"/>
        <v>35.869999999999997</v>
      </c>
      <c r="Q11" s="5">
        <f t="shared" si="3"/>
        <v>105.99</v>
      </c>
      <c r="R11" s="5">
        <f t="shared" ref="R11" si="4">SUM(R12:R15)</f>
        <v>0</v>
      </c>
    </row>
    <row r="12" spans="1:18" x14ac:dyDescent="0.3">
      <c r="A12" t="s">
        <v>22</v>
      </c>
      <c r="B12" s="6">
        <f>SUM(C12:R12)</f>
        <v>119497.1</v>
      </c>
      <c r="C12" s="6">
        <f>32877.16+83910.6</f>
        <v>116787.76000000001</v>
      </c>
      <c r="D12" s="6"/>
      <c r="E12" s="6"/>
      <c r="F12" s="6"/>
      <c r="G12" s="6"/>
      <c r="H12" s="6"/>
      <c r="I12" s="6"/>
      <c r="J12" s="6"/>
      <c r="K12" s="6"/>
      <c r="L12" s="6"/>
      <c r="M12" s="6">
        <v>753</v>
      </c>
      <c r="N12" s="6">
        <v>616.47</v>
      </c>
      <c r="O12" s="6">
        <v>1304</v>
      </c>
      <c r="P12" s="6">
        <v>35.869999999999997</v>
      </c>
      <c r="Q12" s="6"/>
      <c r="R12" s="6"/>
    </row>
    <row r="13" spans="1:18" x14ac:dyDescent="0.3">
      <c r="A13" t="s">
        <v>23</v>
      </c>
      <c r="B13" s="6">
        <f t="shared" ref="B13:B18" si="5">SUM(C13:R13)</f>
        <v>16269.39</v>
      </c>
      <c r="C13" s="6">
        <f>3448.42+7975.76</f>
        <v>11424.18</v>
      </c>
      <c r="D13" s="6"/>
      <c r="E13" s="6"/>
      <c r="F13" s="6"/>
      <c r="G13" s="6">
        <v>445.76</v>
      </c>
      <c r="H13" s="6">
        <v>504.96</v>
      </c>
      <c r="I13" s="6"/>
      <c r="J13" s="6"/>
      <c r="K13" s="6"/>
      <c r="L13" s="6"/>
      <c r="M13" s="6">
        <v>2958.41</v>
      </c>
      <c r="N13" s="6">
        <v>511.53</v>
      </c>
      <c r="O13" s="6">
        <v>318.56</v>
      </c>
      <c r="P13" s="6"/>
      <c r="Q13" s="6">
        <v>105.99</v>
      </c>
      <c r="R13" s="6"/>
    </row>
    <row r="14" spans="1:18" x14ac:dyDescent="0.3">
      <c r="A14" t="s">
        <v>24</v>
      </c>
      <c r="B14" s="6">
        <f t="shared" si="5"/>
        <v>2882.26</v>
      </c>
      <c r="C14" s="6">
        <v>1210</v>
      </c>
      <c r="D14" s="6"/>
      <c r="E14" s="6"/>
      <c r="F14" s="6"/>
      <c r="G14" s="6"/>
      <c r="H14" s="6">
        <v>255</v>
      </c>
      <c r="I14" s="6"/>
      <c r="J14" s="6"/>
      <c r="K14" s="6"/>
      <c r="L14" s="6"/>
      <c r="M14" s="6">
        <v>712.26</v>
      </c>
      <c r="N14" s="6">
        <v>705</v>
      </c>
      <c r="O14" s="6"/>
      <c r="P14" s="6"/>
      <c r="Q14" s="6"/>
      <c r="R14" s="6"/>
    </row>
    <row r="15" spans="1:18" x14ac:dyDescent="0.3">
      <c r="A15" t="s">
        <v>25</v>
      </c>
      <c r="B15" s="6">
        <f t="shared" si="5"/>
        <v>8029.93</v>
      </c>
      <c r="C15" s="6">
        <f>423.93+6117.64</f>
        <v>6541.5700000000006</v>
      </c>
      <c r="D15" s="6"/>
      <c r="E15" s="6"/>
      <c r="F15" s="6"/>
      <c r="G15" s="6">
        <v>123.56</v>
      </c>
      <c r="H15" s="6">
        <v>412.7</v>
      </c>
      <c r="I15" s="6"/>
      <c r="J15" s="6"/>
      <c r="K15" s="6"/>
      <c r="L15" s="6"/>
      <c r="M15" s="6">
        <v>535.33000000000004</v>
      </c>
      <c r="N15" s="6">
        <v>416.77</v>
      </c>
      <c r="O15" s="6"/>
      <c r="P15" s="6"/>
      <c r="Q15" s="6"/>
      <c r="R15" s="6"/>
    </row>
    <row r="16" spans="1:18" s="1" customFormat="1" ht="18.899999999999999" customHeight="1" x14ac:dyDescent="0.3">
      <c r="A16" s="1" t="s">
        <v>26</v>
      </c>
      <c r="B16" s="5">
        <f>SUM(C16:R16)</f>
        <v>1465.6599999999999</v>
      </c>
      <c r="C16" s="5">
        <f>128.63+31.82</f>
        <v>160.44999999999999</v>
      </c>
      <c r="D16" s="5"/>
      <c r="E16" s="5"/>
      <c r="F16" s="5"/>
      <c r="G16" s="5"/>
      <c r="H16" s="5">
        <v>981.08</v>
      </c>
      <c r="I16" s="5"/>
      <c r="J16" s="5"/>
      <c r="K16" s="5"/>
      <c r="L16" s="5"/>
      <c r="M16" s="5">
        <v>129.78</v>
      </c>
      <c r="N16" s="5"/>
      <c r="O16" s="5">
        <v>194.35</v>
      </c>
      <c r="P16" s="5"/>
      <c r="Q16" s="5"/>
      <c r="R16" s="5"/>
    </row>
    <row r="17" spans="1:18" s="1" customFormat="1" ht="18.899999999999999" customHeight="1" x14ac:dyDescent="0.3">
      <c r="A17" s="1" t="s">
        <v>27</v>
      </c>
      <c r="B17" s="5">
        <f t="shared" si="5"/>
        <v>20279.010000000002</v>
      </c>
      <c r="C17" s="5">
        <f>2915.75+14911.29</f>
        <v>17827.04</v>
      </c>
      <c r="D17" s="5"/>
      <c r="E17" s="5"/>
      <c r="F17" s="5"/>
      <c r="G17" s="5">
        <v>536.55999999999995</v>
      </c>
      <c r="H17" s="5">
        <v>139.77000000000001</v>
      </c>
      <c r="I17" s="5"/>
      <c r="J17" s="5"/>
      <c r="K17" s="5"/>
      <c r="L17" s="5"/>
      <c r="M17" s="5">
        <v>1775.6399999999999</v>
      </c>
      <c r="N17" s="5"/>
      <c r="O17" s="5"/>
      <c r="P17" s="5"/>
      <c r="Q17" s="5"/>
      <c r="R17" s="5"/>
    </row>
    <row r="18" spans="1:18" s="1" customFormat="1" ht="18.899999999999999" customHeight="1" x14ac:dyDescent="0.3">
      <c r="A18" s="1" t="s">
        <v>28</v>
      </c>
      <c r="B18" s="5">
        <f t="shared" si="5"/>
        <v>26.43</v>
      </c>
      <c r="C18" s="5"/>
      <c r="D18" s="5"/>
      <c r="E18" s="5"/>
      <c r="F18" s="5"/>
      <c r="G18" s="5"/>
      <c r="H18" s="5">
        <v>26.43</v>
      </c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ht="18.899999999999999" customHeight="1" x14ac:dyDescent="0.3">
      <c r="A19" s="1" t="s">
        <v>29</v>
      </c>
      <c r="B19" s="5">
        <f t="shared" si="2"/>
        <v>0</v>
      </c>
      <c r="C19" s="5">
        <f>SUM(C20:C22)</f>
        <v>0</v>
      </c>
      <c r="D19" s="5">
        <f t="shared" ref="D19:Q19" si="6">SUM(D20:D22)</f>
        <v>0</v>
      </c>
      <c r="E19" s="5">
        <f t="shared" si="6"/>
        <v>0</v>
      </c>
      <c r="F19" s="5">
        <f t="shared" si="6"/>
        <v>0</v>
      </c>
      <c r="G19" s="5">
        <f t="shared" si="6"/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5">
        <f t="shared" si="6"/>
        <v>0</v>
      </c>
      <c r="L19" s="5">
        <f t="shared" si="6"/>
        <v>0</v>
      </c>
      <c r="M19" s="5">
        <f t="shared" si="6"/>
        <v>0</v>
      </c>
      <c r="N19" s="5">
        <f t="shared" si="6"/>
        <v>0</v>
      </c>
      <c r="O19" s="5">
        <f t="shared" si="6"/>
        <v>0</v>
      </c>
      <c r="P19" s="5">
        <f t="shared" si="6"/>
        <v>0</v>
      </c>
      <c r="Q19" s="5">
        <f t="shared" si="6"/>
        <v>0</v>
      </c>
      <c r="R19" s="5">
        <f t="shared" ref="R19" si="7">SUM(R20:R22)</f>
        <v>0</v>
      </c>
    </row>
    <row r="20" spans="1:18" x14ac:dyDescent="0.3">
      <c r="A20" t="s">
        <v>30</v>
      </c>
      <c r="B20" s="6">
        <f>SUM(C20:R20)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A21" t="s">
        <v>31</v>
      </c>
      <c r="B21" s="6">
        <f t="shared" ref="B21:B22" si="8">SUM(C21:R21)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">
      <c r="A22" t="s">
        <v>32</v>
      </c>
      <c r="B22" s="6">
        <f t="shared" si="8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">
      <c r="A23" s="1" t="s">
        <v>33</v>
      </c>
      <c r="B23" s="5">
        <f>SUM(C23:R23)</f>
        <v>1303.21</v>
      </c>
      <c r="C23" s="6">
        <v>918.39</v>
      </c>
      <c r="D23" s="6"/>
      <c r="E23" s="6"/>
      <c r="F23" s="6"/>
      <c r="G23" s="6"/>
      <c r="H23" s="6">
        <v>384.82</v>
      </c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s="1" customFormat="1" ht="24.6" customHeight="1" x14ac:dyDescent="0.3">
      <c r="A24" s="1" t="s">
        <v>34</v>
      </c>
      <c r="B24" s="5">
        <f>B8+B11+B16+B17+B18+B19-B23</f>
        <v>1014705.79</v>
      </c>
      <c r="C24" s="5">
        <f>C8+C11+C16+C17+C18+C19-C23</f>
        <v>707654.86</v>
      </c>
      <c r="D24" s="5">
        <f t="shared" ref="D24:R24" si="9">D8+D11+D16+D17+D18+D19-D23</f>
        <v>0</v>
      </c>
      <c r="E24" s="5">
        <f t="shared" si="9"/>
        <v>0</v>
      </c>
      <c r="F24" s="5">
        <f t="shared" si="9"/>
        <v>0</v>
      </c>
      <c r="G24" s="5">
        <f t="shared" si="9"/>
        <v>20424.34</v>
      </c>
      <c r="H24" s="5">
        <f t="shared" si="9"/>
        <v>67204.389999999985</v>
      </c>
      <c r="I24" s="5">
        <f t="shared" si="9"/>
        <v>0</v>
      </c>
      <c r="J24" s="5">
        <f t="shared" si="9"/>
        <v>0</v>
      </c>
      <c r="K24" s="5">
        <f t="shared" si="9"/>
        <v>0</v>
      </c>
      <c r="L24" s="5">
        <f t="shared" si="9"/>
        <v>0</v>
      </c>
      <c r="M24" s="5">
        <f t="shared" si="9"/>
        <v>173467.60000000003</v>
      </c>
      <c r="N24" s="5">
        <f t="shared" si="9"/>
        <v>16588.45</v>
      </c>
      <c r="O24" s="5">
        <f t="shared" si="9"/>
        <v>26913.1</v>
      </c>
      <c r="P24" s="5">
        <f t="shared" si="9"/>
        <v>35.869999999999997</v>
      </c>
      <c r="Q24" s="5">
        <f t="shared" si="9"/>
        <v>2417.1799999999998</v>
      </c>
      <c r="R24" s="5">
        <f t="shared" si="9"/>
        <v>0</v>
      </c>
    </row>
    <row r="27" spans="1:18" x14ac:dyDescent="0.3">
      <c r="A27" s="1" t="s">
        <v>35</v>
      </c>
    </row>
    <row r="28" spans="1:18" x14ac:dyDescent="0.3">
      <c r="A28" s="1" t="s">
        <v>36</v>
      </c>
      <c r="B28" s="6">
        <v>10090.969999999999</v>
      </c>
    </row>
    <row r="29" spans="1:18" x14ac:dyDescent="0.3">
      <c r="A29" s="1" t="s">
        <v>37</v>
      </c>
      <c r="B29" s="6">
        <v>38874.160000000003</v>
      </c>
    </row>
    <row r="30" spans="1:18" x14ac:dyDescent="0.3">
      <c r="A30" s="1" t="s">
        <v>38</v>
      </c>
      <c r="B30" s="6">
        <v>131609.94</v>
      </c>
    </row>
    <row r="31" spans="1:18" x14ac:dyDescent="0.3">
      <c r="A31" s="1" t="s">
        <v>69</v>
      </c>
      <c r="B31" s="6">
        <v>308928.63</v>
      </c>
    </row>
    <row r="32" spans="1:18" x14ac:dyDescent="0.3">
      <c r="A32" s="1" t="s">
        <v>84</v>
      </c>
      <c r="B32" s="6">
        <v>231821.76</v>
      </c>
    </row>
    <row r="33" spans="1:2" x14ac:dyDescent="0.3">
      <c r="A33" s="1" t="s">
        <v>85</v>
      </c>
      <c r="B33" s="6">
        <v>293380.33</v>
      </c>
    </row>
    <row r="34" spans="1:2" x14ac:dyDescent="0.3">
      <c r="A34" s="1"/>
      <c r="B34" s="6"/>
    </row>
    <row r="35" spans="1:2" x14ac:dyDescent="0.3">
      <c r="A35" s="1" t="s">
        <v>39</v>
      </c>
      <c r="B35" s="6">
        <f>SUM(B28:B34)</f>
        <v>1014705.79</v>
      </c>
    </row>
  </sheetData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2"/>
  <sheetViews>
    <sheetView zoomScale="70" zoomScaleNormal="70" workbookViewId="0">
      <pane xSplit="1" topLeftCell="B1" activePane="topRight" state="frozen"/>
      <selection pane="topRight" activeCell="D33" sqref="C32:D33"/>
    </sheetView>
  </sheetViews>
  <sheetFormatPr defaultRowHeight="14.4" x14ac:dyDescent="0.3"/>
  <cols>
    <col min="1" max="1" width="29.33203125" customWidth="1"/>
    <col min="2" max="2" width="13.6640625" customWidth="1"/>
    <col min="3" max="17" width="13.554687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53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233399.45000000004</v>
      </c>
      <c r="C8" s="5">
        <f>SUM(C9:C10)</f>
        <v>79825.710000000006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17884.16</v>
      </c>
      <c r="H8" s="5">
        <f t="shared" si="0"/>
        <v>56851.28</v>
      </c>
      <c r="I8" s="5">
        <f t="shared" si="0"/>
        <v>0</v>
      </c>
      <c r="J8" s="5">
        <f t="shared" si="0"/>
        <v>0</v>
      </c>
      <c r="K8" s="5">
        <f t="shared" si="0"/>
        <v>14231.01</v>
      </c>
      <c r="L8" s="5">
        <f t="shared" si="0"/>
        <v>0</v>
      </c>
      <c r="M8" s="5">
        <f t="shared" si="0"/>
        <v>54315.64</v>
      </c>
      <c r="N8" s="5">
        <f t="shared" si="0"/>
        <v>3848.8</v>
      </c>
      <c r="O8" s="5">
        <f t="shared" si="0"/>
        <v>0</v>
      </c>
      <c r="P8" s="5">
        <f t="shared" si="0"/>
        <v>6442.85</v>
      </c>
      <c r="Q8" s="5">
        <f t="shared" si="0"/>
        <v>0</v>
      </c>
    </row>
    <row r="9" spans="1:18" x14ac:dyDescent="0.3">
      <c r="A9" t="s">
        <v>19</v>
      </c>
      <c r="B9" s="6">
        <f>SUM(C9:Q9)</f>
        <v>210048.07000000004</v>
      </c>
      <c r="C9" s="6">
        <v>79825.710000000006</v>
      </c>
      <c r="D9" s="6"/>
      <c r="E9" s="6"/>
      <c r="F9" s="6"/>
      <c r="G9" s="6">
        <v>17884.16</v>
      </c>
      <c r="H9" s="6">
        <v>33499.9</v>
      </c>
      <c r="I9" s="6"/>
      <c r="J9" s="6"/>
      <c r="K9" s="6">
        <v>14231.01</v>
      </c>
      <c r="L9" s="6"/>
      <c r="M9" s="6">
        <v>54315.64</v>
      </c>
      <c r="N9" s="6">
        <v>3848.8</v>
      </c>
      <c r="O9" s="6"/>
      <c r="P9" s="6">
        <v>6442.85</v>
      </c>
      <c r="Q9" s="6"/>
    </row>
    <row r="10" spans="1:18" x14ac:dyDescent="0.3">
      <c r="A10" t="s">
        <v>20</v>
      </c>
      <c r="B10" s="6">
        <f>SUM(C10:Q10)</f>
        <v>23351.38</v>
      </c>
      <c r="C10" s="6"/>
      <c r="D10" s="6"/>
      <c r="E10" s="6"/>
      <c r="F10" s="6"/>
      <c r="G10" s="6"/>
      <c r="H10" s="6">
        <v>23351.38</v>
      </c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7295.94</v>
      </c>
      <c r="C11" s="5">
        <f>SUM(C12:C15)</f>
        <v>4025.39</v>
      </c>
      <c r="D11" s="5">
        <f t="shared" ref="D11:Q11" si="2">SUM(D12:D15)</f>
        <v>0</v>
      </c>
      <c r="E11" s="5">
        <f t="shared" si="2"/>
        <v>0</v>
      </c>
      <c r="F11" s="5">
        <f t="shared" si="2"/>
        <v>0</v>
      </c>
      <c r="G11" s="5">
        <f t="shared" si="2"/>
        <v>2703.4199999999996</v>
      </c>
      <c r="H11" s="5">
        <f t="shared" si="2"/>
        <v>189.77</v>
      </c>
      <c r="I11" s="5">
        <f t="shared" si="2"/>
        <v>0</v>
      </c>
      <c r="J11" s="5">
        <f t="shared" si="2"/>
        <v>0</v>
      </c>
      <c r="K11" s="5">
        <f t="shared" si="2"/>
        <v>222.28</v>
      </c>
      <c r="L11" s="5">
        <f t="shared" si="2"/>
        <v>0</v>
      </c>
      <c r="M11" s="5">
        <f t="shared" si="2"/>
        <v>26.92</v>
      </c>
      <c r="N11" s="5">
        <f t="shared" si="2"/>
        <v>0</v>
      </c>
      <c r="O11" s="5">
        <f t="shared" si="2"/>
        <v>0</v>
      </c>
      <c r="P11" s="5">
        <f t="shared" si="2"/>
        <v>128.16</v>
      </c>
      <c r="Q11" s="5">
        <f t="shared" si="2"/>
        <v>0</v>
      </c>
    </row>
    <row r="12" spans="1:18" x14ac:dyDescent="0.3">
      <c r="A12" t="s">
        <v>22</v>
      </c>
      <c r="B12" s="6">
        <f>SUM(C12:Q12)</f>
        <v>3486.66</v>
      </c>
      <c r="C12" s="6">
        <f>366.66+3120</f>
        <v>3486.66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2919.95</v>
      </c>
      <c r="C13" s="6"/>
      <c r="D13" s="6"/>
      <c r="E13" s="6"/>
      <c r="F13" s="6"/>
      <c r="G13" s="6">
        <v>2429.3199999999997</v>
      </c>
      <c r="H13" s="6">
        <v>113.27000000000001</v>
      </c>
      <c r="I13" s="6"/>
      <c r="J13" s="6"/>
      <c r="K13" s="6">
        <v>222.28</v>
      </c>
      <c r="L13" s="6"/>
      <c r="M13" s="6">
        <v>26.92</v>
      </c>
      <c r="N13" s="6"/>
      <c r="O13" s="6"/>
      <c r="P13" s="6">
        <v>128.16</v>
      </c>
      <c r="Q13" s="6"/>
    </row>
    <row r="14" spans="1:18" x14ac:dyDescent="0.3">
      <c r="A14" t="s">
        <v>24</v>
      </c>
      <c r="B14" s="6">
        <f t="shared" si="3"/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889.33</v>
      </c>
      <c r="C15" s="6">
        <v>538.73</v>
      </c>
      <c r="D15" s="6"/>
      <c r="E15" s="6"/>
      <c r="F15" s="6"/>
      <c r="G15" s="6">
        <v>274.10000000000002</v>
      </c>
      <c r="H15" s="6">
        <v>76.5</v>
      </c>
      <c r="I15" s="6"/>
      <c r="J15" s="6"/>
      <c r="K15" s="6"/>
      <c r="L15" s="6"/>
      <c r="M15" s="6"/>
      <c r="N15" s="6"/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163.42000000000002</v>
      </c>
      <c r="C16" s="5"/>
      <c r="D16" s="5"/>
      <c r="E16" s="5"/>
      <c r="F16" s="5"/>
      <c r="G16" s="5">
        <v>14.77</v>
      </c>
      <c r="H16" s="5">
        <v>148.65</v>
      </c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4209.8099999999995</v>
      </c>
      <c r="C17" s="5">
        <f>1954.32+649.92</f>
        <v>2604.2399999999998</v>
      </c>
      <c r="D17" s="5"/>
      <c r="E17" s="5"/>
      <c r="F17" s="5"/>
      <c r="G17" s="5">
        <v>1365.5700000000002</v>
      </c>
      <c r="H17" s="5"/>
      <c r="I17" s="5"/>
      <c r="J17" s="5"/>
      <c r="K17" s="5">
        <v>240</v>
      </c>
      <c r="L17" s="5"/>
      <c r="M17" s="5"/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20.99</v>
      </c>
      <c r="C18" s="5"/>
      <c r="D18" s="5"/>
      <c r="E18" s="5"/>
      <c r="F18" s="5"/>
      <c r="G18" s="5">
        <v>20.99</v>
      </c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245089.61000000004</v>
      </c>
      <c r="C24" s="5">
        <f>C8+C11+C16+C17+C18+C19-C23</f>
        <v>86455.340000000011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0</v>
      </c>
      <c r="G24" s="5">
        <f t="shared" si="6"/>
        <v>21988.91</v>
      </c>
      <c r="H24" s="5">
        <f t="shared" si="6"/>
        <v>57189.7</v>
      </c>
      <c r="I24" s="5">
        <f t="shared" si="6"/>
        <v>0</v>
      </c>
      <c r="J24" s="5">
        <f t="shared" si="6"/>
        <v>0</v>
      </c>
      <c r="K24" s="5">
        <f t="shared" si="6"/>
        <v>14693.29</v>
      </c>
      <c r="L24" s="5">
        <f t="shared" si="6"/>
        <v>0</v>
      </c>
      <c r="M24" s="5">
        <f t="shared" si="6"/>
        <v>54342.559999999998</v>
      </c>
      <c r="N24" s="5">
        <f t="shared" si="6"/>
        <v>3848.8</v>
      </c>
      <c r="O24" s="5">
        <f t="shared" si="6"/>
        <v>0</v>
      </c>
      <c r="P24" s="5">
        <f t="shared" si="6"/>
        <v>6571.01</v>
      </c>
      <c r="Q24" s="5">
        <f t="shared" si="6"/>
        <v>0</v>
      </c>
    </row>
    <row r="27" spans="1:17" x14ac:dyDescent="0.3">
      <c r="A27" s="1" t="s">
        <v>38</v>
      </c>
      <c r="B27" s="6">
        <v>54699.259999999995</v>
      </c>
    </row>
    <row r="28" spans="1:17" x14ac:dyDescent="0.3">
      <c r="A28" s="1" t="s">
        <v>69</v>
      </c>
      <c r="B28" s="6">
        <v>106255.99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1" t="s">
        <v>84</v>
      </c>
      <c r="B29" s="6">
        <v>30130.1</v>
      </c>
    </row>
    <row r="30" spans="1:17" x14ac:dyDescent="0.3">
      <c r="A30" s="1" t="s">
        <v>85</v>
      </c>
      <c r="B30" s="6">
        <v>54004.26</v>
      </c>
    </row>
    <row r="31" spans="1:17" x14ac:dyDescent="0.3">
      <c r="A31" s="1"/>
      <c r="B31" s="3"/>
    </row>
    <row r="32" spans="1:17" x14ac:dyDescent="0.3">
      <c r="A32" s="1" t="s">
        <v>39</v>
      </c>
      <c r="B32" s="6">
        <f>SUM(B27:B31)</f>
        <v>245089.61000000002</v>
      </c>
    </row>
  </sheetData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2"/>
  <sheetViews>
    <sheetView zoomScale="85" zoomScaleNormal="85" workbookViewId="0">
      <pane xSplit="1" topLeftCell="B1" activePane="topRight" state="frozen"/>
      <selection pane="topRight" activeCell="A29" sqref="A29:XFD30"/>
    </sheetView>
  </sheetViews>
  <sheetFormatPr defaultRowHeight="14.4" x14ac:dyDescent="0.3"/>
  <cols>
    <col min="1" max="1" width="28.88671875" customWidth="1"/>
    <col min="2" max="2" width="13.5546875" customWidth="1"/>
    <col min="3" max="3" width="14.88671875" customWidth="1"/>
    <col min="4" max="17" width="13.554687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55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624047.65</v>
      </c>
      <c r="C8" s="5">
        <f>SUM(C9:C10)</f>
        <v>572718.76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51328.89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</row>
    <row r="9" spans="1:18" x14ac:dyDescent="0.3">
      <c r="A9" t="s">
        <v>19</v>
      </c>
      <c r="B9" s="6">
        <f>SUM(C9:Q9)</f>
        <v>623647.65</v>
      </c>
      <c r="C9" s="6">
        <f>190182.14+382136.62</f>
        <v>572318.76</v>
      </c>
      <c r="D9" s="6"/>
      <c r="E9" s="6"/>
      <c r="F9" s="6"/>
      <c r="G9" s="6"/>
      <c r="H9" s="6"/>
      <c r="I9" s="6"/>
      <c r="J9" s="6"/>
      <c r="K9" s="6"/>
      <c r="L9" s="6"/>
      <c r="M9" s="6">
        <v>51328.89</v>
      </c>
      <c r="N9" s="6"/>
      <c r="O9" s="6"/>
      <c r="P9" s="6"/>
      <c r="Q9" s="6"/>
    </row>
    <row r="10" spans="1:18" x14ac:dyDescent="0.3">
      <c r="A10" t="s">
        <v>20</v>
      </c>
      <c r="B10" s="6">
        <f>SUM(C10:Q10)</f>
        <v>400</v>
      </c>
      <c r="C10" s="6">
        <v>400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14781.510000000002</v>
      </c>
      <c r="C11" s="5">
        <f>SUM(C12:C15)</f>
        <v>13534.300000000001</v>
      </c>
      <c r="D11" s="5">
        <f t="shared" ref="D11:Q11" si="2">SUM(D12:D15)</f>
        <v>0</v>
      </c>
      <c r="E11" s="5">
        <f t="shared" si="2"/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1247.21</v>
      </c>
      <c r="N11" s="5">
        <f t="shared" si="2"/>
        <v>0</v>
      </c>
      <c r="O11" s="5">
        <f t="shared" si="2"/>
        <v>0</v>
      </c>
      <c r="P11" s="5">
        <f t="shared" si="2"/>
        <v>0</v>
      </c>
      <c r="Q11" s="5">
        <f t="shared" si="2"/>
        <v>0</v>
      </c>
    </row>
    <row r="12" spans="1:18" x14ac:dyDescent="0.3">
      <c r="A12" t="s">
        <v>22</v>
      </c>
      <c r="B12" s="6">
        <f>SUM(C12:Q12)</f>
        <v>7267.4400000000005</v>
      </c>
      <c r="C12" s="6">
        <f>3625+2452.1</f>
        <v>6077.1</v>
      </c>
      <c r="D12" s="6"/>
      <c r="E12" s="6"/>
      <c r="F12" s="6"/>
      <c r="G12" s="6"/>
      <c r="H12" s="6"/>
      <c r="I12" s="6"/>
      <c r="J12" s="6"/>
      <c r="K12" s="6"/>
      <c r="L12" s="6"/>
      <c r="M12" s="6">
        <v>1190.3399999999999</v>
      </c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2306.54</v>
      </c>
      <c r="C13" s="6">
        <f>466.25+1820.05</f>
        <v>2286.3000000000002</v>
      </c>
      <c r="D13" s="6"/>
      <c r="E13" s="6"/>
      <c r="F13" s="6"/>
      <c r="G13" s="6"/>
      <c r="H13" s="6"/>
      <c r="I13" s="6"/>
      <c r="J13" s="6"/>
      <c r="K13" s="6"/>
      <c r="L13" s="6"/>
      <c r="M13" s="6">
        <v>20.239999999999998</v>
      </c>
      <c r="N13" s="6"/>
      <c r="O13" s="6"/>
      <c r="P13" s="6"/>
      <c r="Q13" s="6"/>
    </row>
    <row r="14" spans="1:18" x14ac:dyDescent="0.3">
      <c r="A14" t="s">
        <v>24</v>
      </c>
      <c r="B14" s="6">
        <f t="shared" si="3"/>
        <v>787</v>
      </c>
      <c r="C14" s="6">
        <v>787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4420.53</v>
      </c>
      <c r="C15" s="6">
        <f>2924.38+1459.52</f>
        <v>4383.8999999999996</v>
      </c>
      <c r="D15" s="6"/>
      <c r="E15" s="6"/>
      <c r="F15" s="6"/>
      <c r="G15" s="6"/>
      <c r="H15" s="6"/>
      <c r="I15" s="6"/>
      <c r="J15" s="6"/>
      <c r="K15" s="6"/>
      <c r="L15" s="6"/>
      <c r="M15" s="6">
        <v>36.630000000000003</v>
      </c>
      <c r="N15" s="6"/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2435.38</v>
      </c>
      <c r="C16" s="5">
        <f>1195.27+1240.11</f>
        <v>2435.38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94335.430000000008</v>
      </c>
      <c r="C17" s="5">
        <f>26865.9+65701.07</f>
        <v>92566.97</v>
      </c>
      <c r="D17" s="5"/>
      <c r="E17" s="5"/>
      <c r="F17" s="5"/>
      <c r="G17" s="5"/>
      <c r="H17" s="5"/>
      <c r="I17" s="5"/>
      <c r="J17" s="5"/>
      <c r="K17" s="5"/>
      <c r="L17" s="5"/>
      <c r="M17" s="5">
        <v>1768.46</v>
      </c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31.619999999999997</v>
      </c>
      <c r="C18" s="5">
        <v>11.29</v>
      </c>
      <c r="D18" s="5"/>
      <c r="E18" s="5"/>
      <c r="F18" s="5"/>
      <c r="G18" s="5"/>
      <c r="H18" s="5"/>
      <c r="I18" s="5"/>
      <c r="J18" s="5"/>
      <c r="K18" s="5"/>
      <c r="L18" s="5"/>
      <c r="M18" s="5">
        <v>20.329999999999998</v>
      </c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5332.74</v>
      </c>
      <c r="C23" s="6">
        <v>5332.74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730298.85000000009</v>
      </c>
      <c r="C24" s="5">
        <f>C8+C11+C16+C17+C18+C19-C23</f>
        <v>675933.96000000008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0</v>
      </c>
      <c r="G24" s="5">
        <f t="shared" si="6"/>
        <v>0</v>
      </c>
      <c r="H24" s="5">
        <f t="shared" si="6"/>
        <v>0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54364.89</v>
      </c>
      <c r="N24" s="5">
        <f t="shared" si="6"/>
        <v>0</v>
      </c>
      <c r="O24" s="5">
        <f t="shared" si="6"/>
        <v>0</v>
      </c>
      <c r="P24" s="5">
        <f t="shared" si="6"/>
        <v>0</v>
      </c>
      <c r="Q24" s="5">
        <f t="shared" si="6"/>
        <v>0</v>
      </c>
    </row>
    <row r="27" spans="1:17" x14ac:dyDescent="0.3">
      <c r="A27" s="1" t="s">
        <v>38</v>
      </c>
      <c r="B27" s="6">
        <v>109430.65</v>
      </c>
    </row>
    <row r="28" spans="1:17" x14ac:dyDescent="0.3">
      <c r="A28" s="1" t="s">
        <v>69</v>
      </c>
      <c r="B28" s="6">
        <v>170593.18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1" t="s">
        <v>84</v>
      </c>
      <c r="B29" s="6">
        <v>219270.5</v>
      </c>
    </row>
    <row r="30" spans="1:17" x14ac:dyDescent="0.3">
      <c r="A30" s="1" t="s">
        <v>85</v>
      </c>
      <c r="B30" s="6">
        <v>231004.52</v>
      </c>
    </row>
    <row r="31" spans="1:17" x14ac:dyDescent="0.3">
      <c r="A31" s="1"/>
      <c r="B31" s="3"/>
    </row>
    <row r="32" spans="1:17" x14ac:dyDescent="0.3">
      <c r="A32" s="1" t="s">
        <v>39</v>
      </c>
      <c r="B32" s="6">
        <f>SUM(B27:B31)</f>
        <v>730298.85</v>
      </c>
    </row>
  </sheetData>
  <pageMargins left="0.7" right="0.7" top="0.75" bottom="0.75" header="0.3" footer="0.3"/>
  <pageSetup paperSize="9" scale="53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2"/>
  <sheetViews>
    <sheetView zoomScale="85" zoomScaleNormal="85" workbookViewId="0">
      <pane xSplit="1" topLeftCell="B1" activePane="topRight" state="frozen"/>
      <selection pane="topRight" activeCell="D32" sqref="D32"/>
    </sheetView>
  </sheetViews>
  <sheetFormatPr defaultRowHeight="14.4" x14ac:dyDescent="0.3"/>
  <cols>
    <col min="1" max="1" width="30.109375" customWidth="1"/>
    <col min="2" max="17" width="13.4414062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56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213431.94999999998</v>
      </c>
      <c r="C8" s="5">
        <f>SUM(C9:C10)</f>
        <v>201664.05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11767.9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</row>
    <row r="9" spans="1:18" x14ac:dyDescent="0.3">
      <c r="A9" t="s">
        <v>19</v>
      </c>
      <c r="B9" s="6">
        <f>SUM(C9:Q9)</f>
        <v>213431.94999999998</v>
      </c>
      <c r="C9" s="6">
        <f>95165.14+106498.91</f>
        <v>201664.05</v>
      </c>
      <c r="D9" s="6"/>
      <c r="E9" s="6"/>
      <c r="F9" s="6"/>
      <c r="G9" s="6"/>
      <c r="H9" s="6"/>
      <c r="I9" s="6"/>
      <c r="J9" s="6"/>
      <c r="K9" s="6"/>
      <c r="L9" s="6"/>
      <c r="M9" s="6">
        <v>11767.9</v>
      </c>
      <c r="N9" s="6"/>
      <c r="O9" s="6"/>
      <c r="P9" s="6"/>
      <c r="Q9" s="6"/>
    </row>
    <row r="10" spans="1:18" x14ac:dyDescent="0.3">
      <c r="A10" t="s">
        <v>20</v>
      </c>
      <c r="B10" s="6">
        <f>SUM(C10:Q10)</f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13635.939999999999</v>
      </c>
      <c r="C11" s="5">
        <f>SUM(C12:C15)</f>
        <v>13635.939999999999</v>
      </c>
      <c r="D11" s="5">
        <f t="shared" ref="D11:Q11" si="2">SUM(D12:D15)</f>
        <v>0</v>
      </c>
      <c r="E11" s="5">
        <f t="shared" si="2"/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0</v>
      </c>
      <c r="N11" s="5">
        <f t="shared" si="2"/>
        <v>0</v>
      </c>
      <c r="O11" s="5">
        <f t="shared" si="2"/>
        <v>0</v>
      </c>
      <c r="P11" s="5">
        <f t="shared" si="2"/>
        <v>0</v>
      </c>
      <c r="Q11" s="5">
        <f t="shared" si="2"/>
        <v>0</v>
      </c>
    </row>
    <row r="12" spans="1:18" x14ac:dyDescent="0.3">
      <c r="A12" t="s">
        <v>22</v>
      </c>
      <c r="B12" s="6">
        <f>SUM(C12:Q12)</f>
        <v>6736.64</v>
      </c>
      <c r="C12" s="6">
        <f>810+5926.64</f>
        <v>6736.64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208.07</v>
      </c>
      <c r="C13" s="6">
        <f>101.84+106.23</f>
        <v>208.07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8" x14ac:dyDescent="0.3">
      <c r="A14" t="s">
        <v>24</v>
      </c>
      <c r="B14" s="6">
        <f t="shared" si="3"/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6691.23</v>
      </c>
      <c r="C15" s="6">
        <f>162.54+6528.69</f>
        <v>6691.23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80.489999999999995</v>
      </c>
      <c r="C16" s="5">
        <v>80.489999999999995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7504.8600000000006</v>
      </c>
      <c r="C17" s="5">
        <f>5062.83+2442.03</f>
        <v>7504.8600000000006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6559.06</v>
      </c>
      <c r="C23" s="6">
        <f>6538.96+20.1</f>
        <v>6559.06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228094.18</v>
      </c>
      <c r="C24" s="5">
        <f>C8+C11+C16+C17+C18+C19-C23</f>
        <v>216326.27999999997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0</v>
      </c>
      <c r="G24" s="5">
        <f t="shared" si="6"/>
        <v>0</v>
      </c>
      <c r="H24" s="5">
        <f t="shared" si="6"/>
        <v>0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11767.9</v>
      </c>
      <c r="N24" s="5">
        <f t="shared" si="6"/>
        <v>0</v>
      </c>
      <c r="O24" s="5">
        <f t="shared" si="6"/>
        <v>0</v>
      </c>
      <c r="P24" s="5">
        <f t="shared" si="6"/>
        <v>0</v>
      </c>
      <c r="Q24" s="5">
        <f t="shared" si="6"/>
        <v>0</v>
      </c>
    </row>
    <row r="27" spans="1:17" x14ac:dyDescent="0.3">
      <c r="A27" s="1" t="s">
        <v>38</v>
      </c>
      <c r="B27" s="6">
        <v>60876.399999999994</v>
      </c>
    </row>
    <row r="28" spans="1:17" x14ac:dyDescent="0.3">
      <c r="A28" s="1" t="s">
        <v>69</v>
      </c>
      <c r="B28" s="6">
        <v>45735.38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1" t="s">
        <v>84</v>
      </c>
      <c r="B29" s="6">
        <v>63694.49</v>
      </c>
    </row>
    <row r="30" spans="1:17" x14ac:dyDescent="0.3">
      <c r="A30" s="1" t="s">
        <v>85</v>
      </c>
      <c r="B30" s="6">
        <v>57787.91</v>
      </c>
    </row>
    <row r="31" spans="1:17" x14ac:dyDescent="0.3">
      <c r="A31" s="1"/>
      <c r="B31" s="3"/>
    </row>
    <row r="32" spans="1:17" x14ac:dyDescent="0.3">
      <c r="A32" s="1" t="s">
        <v>39</v>
      </c>
      <c r="B32" s="6">
        <f>SUM(B27:B31)</f>
        <v>228094.18</v>
      </c>
    </row>
  </sheetData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2"/>
  <sheetViews>
    <sheetView zoomScale="85" zoomScaleNormal="85" workbookViewId="0">
      <pane xSplit="1" topLeftCell="B1" activePane="topRight" state="frozen"/>
      <selection activeCell="A4" sqref="A4"/>
      <selection pane="topRight" activeCell="C30" sqref="C30"/>
    </sheetView>
  </sheetViews>
  <sheetFormatPr defaultRowHeight="14.4" x14ac:dyDescent="0.3"/>
  <cols>
    <col min="1" max="1" width="30.5546875" customWidth="1"/>
    <col min="2" max="17" width="13.5546875" customWidth="1"/>
  </cols>
  <sheetData>
    <row r="1" spans="1:18" x14ac:dyDescent="0.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35">
      <c r="A3" s="2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8" x14ac:dyDescent="0.35">
      <c r="A5" s="2" t="s">
        <v>57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3.95" customHeight="1" x14ac:dyDescent="0.35">
      <c r="A6" s="2"/>
      <c r="B6" s="3"/>
      <c r="C6" s="3" t="s">
        <v>58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s="1" customFormat="1" x14ac:dyDescent="0.3">
      <c r="B7" s="4" t="s">
        <v>3</v>
      </c>
      <c r="C7" s="4" t="s">
        <v>83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8" s="1" customFormat="1" ht="20.7" customHeight="1" x14ac:dyDescent="0.3">
      <c r="A8" s="1" t="s">
        <v>18</v>
      </c>
      <c r="B8" s="5">
        <f>SUM(C8:P8)</f>
        <v>606342.94999999995</v>
      </c>
      <c r="C8" s="5">
        <f>SUM(C9:C10)</f>
        <v>606342.94999999995</v>
      </c>
      <c r="D8" s="5">
        <f t="shared" ref="D8:Q8" si="0">SUM(D9:D10)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</row>
    <row r="9" spans="1:18" x14ac:dyDescent="0.3">
      <c r="A9" t="s">
        <v>19</v>
      </c>
      <c r="B9" s="6">
        <f>SUM(C9:Q9)</f>
        <v>606342.94999999995</v>
      </c>
      <c r="C9" s="6">
        <f>133795.11+472547.84</f>
        <v>606342.94999999995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8" x14ac:dyDescent="0.3">
      <c r="A10" t="s">
        <v>20</v>
      </c>
      <c r="B10" s="6">
        <f>SUM(C10:Q10)</f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s="1" customFormat="1" ht="20.399999999999999" customHeight="1" x14ac:dyDescent="0.3">
      <c r="A11" s="1" t="s">
        <v>21</v>
      </c>
      <c r="B11" s="5">
        <f t="shared" ref="B11:B19" si="1">SUM(C11:P11)</f>
        <v>8784.36</v>
      </c>
      <c r="C11" s="5">
        <f>SUM(C12:C15)</f>
        <v>8784.36</v>
      </c>
      <c r="D11" s="5">
        <f t="shared" ref="D11:Q11" si="2">SUM(D12:D15)</f>
        <v>0</v>
      </c>
      <c r="E11" s="5">
        <f t="shared" si="2"/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0</v>
      </c>
      <c r="N11" s="5">
        <f t="shared" si="2"/>
        <v>0</v>
      </c>
      <c r="O11" s="5">
        <f t="shared" si="2"/>
        <v>0</v>
      </c>
      <c r="P11" s="5">
        <f t="shared" si="2"/>
        <v>0</v>
      </c>
      <c r="Q11" s="5">
        <f t="shared" si="2"/>
        <v>0</v>
      </c>
    </row>
    <row r="12" spans="1:18" x14ac:dyDescent="0.3">
      <c r="A12" t="s">
        <v>22</v>
      </c>
      <c r="B12" s="6">
        <f>SUM(C12:Q12)</f>
        <v>0.94</v>
      </c>
      <c r="C12" s="6">
        <v>0.94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8" x14ac:dyDescent="0.3">
      <c r="A13" t="s">
        <v>23</v>
      </c>
      <c r="B13" s="6">
        <f t="shared" ref="B13:B18" si="3">SUM(C13:Q13)</f>
        <v>1292.5999999999999</v>
      </c>
      <c r="C13" s="6">
        <f>970.84+321.76</f>
        <v>1292.5999999999999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8" x14ac:dyDescent="0.3">
      <c r="A14" t="s">
        <v>24</v>
      </c>
      <c r="B14" s="6">
        <f t="shared" si="3"/>
        <v>250</v>
      </c>
      <c r="C14" s="6">
        <v>250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x14ac:dyDescent="0.3">
      <c r="A15" t="s">
        <v>25</v>
      </c>
      <c r="B15" s="6">
        <f t="shared" si="3"/>
        <v>7240.82</v>
      </c>
      <c r="C15" s="6">
        <f>2839.35+4401.47</f>
        <v>7240.82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8" s="1" customFormat="1" ht="18.899999999999999" customHeight="1" x14ac:dyDescent="0.3">
      <c r="A16" s="1" t="s">
        <v>26</v>
      </c>
      <c r="B16" s="5">
        <f>SUM(C16:Q16)</f>
        <v>1949.42</v>
      </c>
      <c r="C16" s="5">
        <v>1949.42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" customFormat="1" ht="18.899999999999999" customHeight="1" x14ac:dyDescent="0.3">
      <c r="A17" s="1" t="s">
        <v>27</v>
      </c>
      <c r="B17" s="5">
        <f t="shared" si="3"/>
        <v>3508.84</v>
      </c>
      <c r="C17" s="5">
        <f>3393+115.84</f>
        <v>3508.84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" customFormat="1" ht="18.899999999999999" customHeight="1" x14ac:dyDescent="0.3">
      <c r="A18" s="1" t="s">
        <v>28</v>
      </c>
      <c r="B18" s="5">
        <f t="shared" si="3"/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" customFormat="1" ht="18.899999999999999" customHeight="1" x14ac:dyDescent="0.3">
      <c r="A19" s="1" t="s">
        <v>29</v>
      </c>
      <c r="B19" s="5">
        <f t="shared" si="1"/>
        <v>0</v>
      </c>
      <c r="C19" s="5">
        <f>SUM(C20:C22)</f>
        <v>0</v>
      </c>
      <c r="D19" s="5">
        <f t="shared" ref="D19:Q19" si="4">SUM(D20:D22)</f>
        <v>0</v>
      </c>
      <c r="E19" s="5">
        <f t="shared" si="4"/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0</v>
      </c>
      <c r="P19" s="5">
        <f t="shared" si="4"/>
        <v>0</v>
      </c>
      <c r="Q19" s="5">
        <f t="shared" si="4"/>
        <v>0</v>
      </c>
    </row>
    <row r="20" spans="1:17" x14ac:dyDescent="0.3">
      <c r="A20" t="s">
        <v>30</v>
      </c>
      <c r="B20" s="6">
        <f>SUM(C20:Q20)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t="s">
        <v>31</v>
      </c>
      <c r="B21" s="6">
        <f t="shared" ref="B21:B22" si="5">SUM(C21:Q21)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t="s">
        <v>32</v>
      </c>
      <c r="B22" s="6">
        <f t="shared" si="5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1" t="s">
        <v>33</v>
      </c>
      <c r="B23" s="5">
        <f>SUM(C23:Q23)</f>
        <v>11251.82</v>
      </c>
      <c r="C23" s="6">
        <v>11251.82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1" customFormat="1" ht="24.6" customHeight="1" x14ac:dyDescent="0.3">
      <c r="A24" s="1" t="s">
        <v>34</v>
      </c>
      <c r="B24" s="5">
        <f>B8+B11+B16+B17+B18+B19-B23</f>
        <v>609333.75</v>
      </c>
      <c r="C24" s="5">
        <f>C8+C11+C16+C17+C18+C19-C23</f>
        <v>609333.75</v>
      </c>
      <c r="D24" s="5">
        <f t="shared" ref="D24:Q24" si="6">D8+D11+D16+D17+D18+D19-D23</f>
        <v>0</v>
      </c>
      <c r="E24" s="5">
        <f t="shared" si="6"/>
        <v>0</v>
      </c>
      <c r="F24" s="5">
        <f t="shared" si="6"/>
        <v>0</v>
      </c>
      <c r="G24" s="5">
        <f t="shared" si="6"/>
        <v>0</v>
      </c>
      <c r="H24" s="5">
        <f t="shared" si="6"/>
        <v>0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0</v>
      </c>
      <c r="N24" s="5">
        <f t="shared" si="6"/>
        <v>0</v>
      </c>
      <c r="O24" s="5">
        <f t="shared" si="6"/>
        <v>0</v>
      </c>
      <c r="P24" s="5">
        <f t="shared" si="6"/>
        <v>0</v>
      </c>
      <c r="Q24" s="5">
        <f t="shared" si="6"/>
        <v>0</v>
      </c>
    </row>
    <row r="27" spans="1:17" x14ac:dyDescent="0.3">
      <c r="A27" s="1" t="s">
        <v>38</v>
      </c>
      <c r="B27" s="6">
        <v>58206.83</v>
      </c>
    </row>
    <row r="28" spans="1:17" x14ac:dyDescent="0.3">
      <c r="A28" s="1" t="s">
        <v>69</v>
      </c>
      <c r="B28" s="6">
        <v>84740.89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3">
      <c r="A29" s="1" t="s">
        <v>84</v>
      </c>
      <c r="B29" s="6">
        <v>215927.63</v>
      </c>
    </row>
    <row r="30" spans="1:17" x14ac:dyDescent="0.3">
      <c r="A30" s="1" t="s">
        <v>85</v>
      </c>
      <c r="B30" s="6">
        <v>250458.4</v>
      </c>
    </row>
    <row r="31" spans="1:17" x14ac:dyDescent="0.3">
      <c r="A31" s="1"/>
      <c r="B31" s="3"/>
    </row>
    <row r="32" spans="1:17" x14ac:dyDescent="0.3">
      <c r="A32" s="1" t="s">
        <v>39</v>
      </c>
      <c r="B32" s="6">
        <f>SUM(B27:B31)</f>
        <v>609333.75</v>
      </c>
    </row>
  </sheetData>
  <pageMargins left="0.7" right="0.7" top="0.75" bottom="0.75" header="0.3" footer="0.3"/>
  <pageSetup paperSize="9" scale="5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F6FC3D6074F44805BCBC06318CA96" ma:contentTypeVersion="9" ma:contentTypeDescription="Create a new document." ma:contentTypeScope="" ma:versionID="9806d5b54e93e9d6fb4b35f4fef7c93f">
  <xsd:schema xmlns:xsd="http://www.w3.org/2001/XMLSchema" xmlns:xs="http://www.w3.org/2001/XMLSchema" xmlns:p="http://schemas.microsoft.com/office/2006/metadata/properties" xmlns:ns2="dc92d5c1-43cc-45b4-9bbb-bb976f805159" xmlns:ns3="d3e50268-7799-48af-83c3-9a9b063078bc" targetNamespace="http://schemas.microsoft.com/office/2006/metadata/properties" ma:root="true" ma:fieldsID="c2d126f062278e6637dec42cd4717612" ns2:_="" ns3:_="">
    <xsd:import namespace="dc92d5c1-43cc-45b4-9bbb-bb976f805159"/>
    <xsd:import namespace="d3e50268-7799-48af-83c3-9a9b06307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2d5c1-43cc-45b4-9bbb-bb976f805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8803545-8691-4b95-be08-91594e2525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50268-7799-48af-83c3-9a9b063078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371c2ee-b094-4c29-8e6d-5c02c207a49e}" ma:internalName="TaxCatchAll" ma:showField="CatchAllData" ma:web="6a32b846-47a8-493d-8d1c-00ccf06c4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92d5c1-43cc-45b4-9bbb-bb976f805159">
      <Terms xmlns="http://schemas.microsoft.com/office/infopath/2007/PartnerControls"/>
    </lcf76f155ced4ddcb4097134ff3c332f>
    <TaxCatchAll xmlns="d3e50268-7799-48af-83c3-9a9b063078bc" xsi:nil="true"/>
  </documentManagement>
</p:properties>
</file>

<file path=customXml/itemProps1.xml><?xml version="1.0" encoding="utf-8"?>
<ds:datastoreItem xmlns:ds="http://schemas.openxmlformats.org/officeDocument/2006/customXml" ds:itemID="{0F7B2FCB-C935-4957-AAF8-CD23D0464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E3ACC6-91F4-4D35-A4E6-60592D355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92d5c1-43cc-45b4-9bbb-bb976f805159"/>
    <ds:schemaRef ds:uri="d3e50268-7799-48af-83c3-9a9b06307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54916-E3FB-4E75-B88D-FABD99D70DA5}">
  <ds:schemaRefs>
    <ds:schemaRef ds:uri="http://schemas.microsoft.com/office/2006/metadata/properties"/>
    <ds:schemaRef ds:uri="http://schemas.microsoft.com/office/infopath/2007/PartnerControls"/>
    <ds:schemaRef ds:uri="dc92d5c1-43cc-45b4-9bbb-bb976f805159"/>
    <ds:schemaRef ds:uri="d3e50268-7799-48af-83c3-9a9b063078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LNP</vt:lpstr>
      <vt:lpstr>MiPä</vt:lpstr>
      <vt:lpstr>IKÄ</vt:lpstr>
      <vt:lpstr>HOITOT</vt:lpstr>
      <vt:lpstr>Kuntoutus</vt:lpstr>
      <vt:lpstr>Vammaispalvelut</vt:lpstr>
      <vt:lpstr>Hanketoimisto</vt:lpstr>
      <vt:lpstr>Innovaatio</vt:lpstr>
      <vt:lpstr>Ensihoito</vt:lpstr>
      <vt:lpstr>Hyte</vt:lpstr>
      <vt:lpstr>Virt. sote</vt:lpstr>
      <vt:lpstr>Jonojen purku</vt:lpstr>
      <vt:lpstr>YHTEENSÄ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Jouko Luukkonen</dc:creator>
  <cp:keywords/>
  <dc:description/>
  <cp:lastModifiedBy>Salmela Ville</cp:lastModifiedBy>
  <cp:revision/>
  <dcterms:created xsi:type="dcterms:W3CDTF">2021-02-07T09:58:20Z</dcterms:created>
  <dcterms:modified xsi:type="dcterms:W3CDTF">2024-02-23T10:04:01Z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0x0101008E0F6FC3D6074F44805BCBC06318CA96</vt:lpwstr>
  </property>
  <property fmtid="{D5CDD505-2E9C-101B-9397-08002B2CF9AE}" pid="3" name="MediaServiceImageTags">
    <vt:lpwstr/>
  </property>
</Properties>
</file>